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terqualityassociation-my.sharepoint.com/personal/mfathallah_wqa_org/Documents/Documents/2026-Website-updates/3-13-Update the calculator excel sheet/"/>
    </mc:Choice>
  </mc:AlternateContent>
  <xr:revisionPtr revIDLastSave="0" documentId="8_{E8D05623-6DC6-47BB-B705-2E5FC5CBDD9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Key" sheetId="4" r:id="rId1"/>
    <sheet name="Worksheet-Descriptive" sheetId="1" r:id="rId2"/>
    <sheet name="MD Ratio Example - Below" sheetId="9" r:id="rId3"/>
    <sheet name="MD Ratio Example - Above 5" sheetId="10" r:id="rId4"/>
    <sheet name="Worksheet-NonDescriptive" sheetId="3" state="hidden" r:id="rId5"/>
  </sheets>
  <definedNames>
    <definedName name="_xlnm.Print_Area" localSheetId="0">Key!$A$1:$N$67</definedName>
    <definedName name="_xlnm.Print_Area" localSheetId="3">'MD Ratio Example - Above 5'!$A$1:$K$39</definedName>
    <definedName name="_xlnm.Print_Area" localSheetId="2">'MD Ratio Example - Below'!$A$1:$K$39</definedName>
    <definedName name="_xlnm.Print_Area" localSheetId="1">'Worksheet-Descriptive'!$A$1:$K$39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0" l="1"/>
  <c r="E15" i="10"/>
  <c r="E17" i="10" s="1"/>
  <c r="G12" i="10"/>
  <c r="E16" i="9"/>
  <c r="E15" i="9"/>
  <c r="E17" i="9" s="1"/>
  <c r="G12" i="9"/>
  <c r="E18" i="10" l="1"/>
  <c r="A37" i="10" s="1"/>
  <c r="E18" i="9"/>
  <c r="A37" i="9" s="1"/>
  <c r="A34" i="10" l="1"/>
  <c r="A31" i="10"/>
  <c r="A28" i="10"/>
  <c r="E23" i="10"/>
  <c r="A31" i="9"/>
  <c r="E23" i="9"/>
  <c r="A34" i="9"/>
  <c r="A28" i="9"/>
  <c r="G12" i="1" l="1"/>
  <c r="E16" i="1"/>
  <c r="E15" i="1"/>
  <c r="E17" i="1" s="1"/>
  <c r="E18" i="1" l="1"/>
  <c r="A28" i="1" s="1"/>
  <c r="D10" i="3"/>
  <c r="D11" i="3"/>
  <c r="F7" i="3"/>
  <c r="A37" i="1" l="1"/>
  <c r="A31" i="1"/>
  <c r="A34" i="1"/>
  <c r="E23" i="1"/>
  <c r="D13" i="3"/>
  <c r="D12" i="3" l="1"/>
  <c r="A36" i="3" l="1"/>
  <c r="A27" i="3"/>
  <c r="A19" i="3"/>
  <c r="A30" i="3"/>
  <c r="A33" i="3"/>
</calcChain>
</file>

<file path=xl/sharedStrings.xml><?xml version="1.0" encoding="utf-8"?>
<sst xmlns="http://schemas.openxmlformats.org/spreadsheetml/2006/main" count="140" uniqueCount="49">
  <si>
    <t>Fill-in-the-Blank M/D Cation Ratio Calculation Formula</t>
  </si>
  <si>
    <t>Influent Water Characteristics (Water Analyses Results)</t>
  </si>
  <si>
    <t>Wastewater Characteristics (Influent Water above plus Average Household Waste Values)</t>
  </si>
  <si>
    <t>@4000 grains per pound of salt usage</t>
  </si>
  <si>
    <t>@3000 grains per pound of salt usage</t>
  </si>
  <si>
    <t>@2000 grains per pound of salt usage</t>
  </si>
  <si>
    <t>@1000 grains per pound of salt usage</t>
  </si>
  <si>
    <t>6,000 represents the grains of sodium per pound of salt as ppm CaCO3.  Desirable Cation Ratio per Novak’s earlier work is 2 to 3 but will be determined for septic tanks in this study.  Dealer can predict this ratio in advance and resize/reset the softener to operate more efficiently based on such calculations.</t>
  </si>
  <si>
    <r>
      <t xml:space="preserve">i.  Sodium  =  </t>
    </r>
    <r>
      <rPr>
        <u/>
        <sz val="14"/>
        <color theme="1"/>
        <rFont val="Calibri"/>
        <family val="2"/>
        <scheme val="minor"/>
      </rPr>
      <t/>
    </r>
  </si>
  <si>
    <r>
      <t xml:space="preserve">ii.  Potassium  = </t>
    </r>
    <r>
      <rPr>
        <u/>
        <sz val="12"/>
        <color theme="1"/>
        <rFont val="Calibri"/>
        <family val="2"/>
        <scheme val="minor"/>
      </rPr>
      <t/>
    </r>
  </si>
  <si>
    <t xml:space="preserve">iii.  Total Water Hardness  =  </t>
  </si>
  <si>
    <t>iv.  Sodium =</t>
  </si>
  <si>
    <t>mg/liter as CaCO3</t>
  </si>
  <si>
    <t>in mg/liter</t>
  </si>
  <si>
    <t xml:space="preserve">v.  Potassium = </t>
  </si>
  <si>
    <t xml:space="preserve">vi.  Total Monovalent Cations  = </t>
  </si>
  <si>
    <t xml:space="preserve">vii.  Total Divalent Cations = </t>
  </si>
  <si>
    <t xml:space="preserve">gpg </t>
  </si>
  <si>
    <t>Enter efficiency in g/lb</t>
  </si>
  <si>
    <t>mg/liter</t>
  </si>
  <si>
    <t>= M/D Cation Ratio for 3000 grains per pound softening</t>
  </si>
  <si>
    <t>= M/D Cation Ratio for 2000 grains per pound softening</t>
  </si>
  <si>
    <t>= M/D Cation Ratio for 1000 grains per pound softening</t>
  </si>
  <si>
    <t xml:space="preserve">Water Softening Operational Salt Efficiency </t>
  </si>
  <si>
    <t>viii.  Salt efficiency =</t>
  </si>
  <si>
    <t xml:space="preserve"> grains of water hardness / pound of NaCl salt</t>
  </si>
  <si>
    <t xml:space="preserve">M/D Cation Ratio (Calculated for Actual Operational Salt Efficiency) </t>
  </si>
  <si>
    <t>Examples:</t>
  </si>
  <si>
    <t>= M/D Cation Ratio for 4000 grains per pound softening</t>
  </si>
  <si>
    <t>Workbook Key</t>
  </si>
  <si>
    <t xml:space="preserve">Influent Water Characteristics </t>
  </si>
  <si>
    <t>Sodium:</t>
  </si>
  <si>
    <t>Potassium:</t>
  </si>
  <si>
    <t>Total Water Hardness:</t>
  </si>
  <si>
    <t>Total Monovalent Cations</t>
  </si>
  <si>
    <t>Total Divalent Cations:</t>
  </si>
  <si>
    <t xml:space="preserve">Wastewater Characteristics </t>
  </si>
  <si>
    <t>Salt efficiency:</t>
  </si>
  <si>
    <t>Consumer instructions:</t>
  </si>
  <si>
    <t>Worksheet-Descriptive tab:</t>
  </si>
  <si>
    <t>Enter values taken from water anlysis report</t>
  </si>
  <si>
    <t>Cells shaded yellow on the Worksheet-Descriptive tab indicate cells that the user should fill in.</t>
  </si>
  <si>
    <t>Cells shaded blue on the Worksheet-Descriptive tab indicate cells that the user should not fill in, and the cells will autopopulate.</t>
  </si>
  <si>
    <t>A monovalent/divalent ratio of &lt;/= 5 has been noted by Dr. Novak to be a good range for onsite septic systems.</t>
  </si>
  <si>
    <r>
      <t xml:space="preserve">A monovalent/divalent ratio of &gt; 5 has </t>
    </r>
    <r>
      <rPr>
        <b/>
        <i/>
        <sz val="10"/>
        <rFont val="Arial"/>
        <family val="2"/>
      </rPr>
      <t>not</t>
    </r>
    <r>
      <rPr>
        <sz val="10"/>
        <rFont val="Arial"/>
        <family val="2"/>
      </rPr>
      <t xml:space="preserve"> been noted a good range for onsite septic systems.</t>
    </r>
  </si>
  <si>
    <t>Minimize Potential Septic System Impacts</t>
  </si>
  <si>
    <r>
      <t xml:space="preserve">Instructions: </t>
    </r>
    <r>
      <rPr>
        <sz val="12"/>
        <rFont val="Calibri"/>
        <family val="2"/>
        <scheme val="minor"/>
      </rPr>
      <t xml:space="preserve"> Fill in the values requested in the yellow boxes below. The Monovalent/Divalent (M/D) ratio will auto-populate below.</t>
    </r>
  </si>
  <si>
    <t>Fill-in-the-Blank Monovalent/Divalent (M/D) Cation Ratio Calculation Form</t>
  </si>
  <si>
    <t>M/D Cation Ratio: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</si>
</sst>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sz val="10"/>
      <color rgb="FFFF6464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i/>
      <sz val="10"/>
      <name val="Arial"/>
      <family val="2"/>
    </font>
    <font>
      <b/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 indent="5"/>
    </xf>
    <xf numFmtId="0" fontId="6" fillId="0" borderId="0" xfId="0" applyFont="1"/>
    <xf numFmtId="0" fontId="3" fillId="0" borderId="0" xfId="0" applyFont="1" applyAlignment="1">
      <alignment horizontal="left"/>
    </xf>
    <xf numFmtId="0" fontId="3" fillId="3" borderId="0" xfId="0" applyFont="1" applyFill="1"/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3" fillId="0" borderId="0" xfId="0" quotePrefix="1" applyFont="1"/>
    <xf numFmtId="2" fontId="3" fillId="5" borderId="0" xfId="0" applyNumberFormat="1" applyFont="1" applyFill="1" applyAlignment="1">
      <alignment horizontal="right"/>
    </xf>
    <xf numFmtId="0" fontId="5" fillId="0" borderId="0" xfId="0" applyFont="1" applyAlignment="1">
      <alignment horizontal="center"/>
    </xf>
    <xf numFmtId="2" fontId="3" fillId="5" borderId="2" xfId="0" applyNumberFormat="1" applyFont="1" applyFill="1" applyBorder="1" applyAlignment="1">
      <alignment horizontal="right"/>
    </xf>
    <xf numFmtId="0" fontId="10" fillId="2" borderId="4" xfId="0" applyFont="1" applyFill="1" applyBorder="1"/>
    <xf numFmtId="0" fontId="3" fillId="5" borderId="1" xfId="0" applyFont="1" applyFill="1" applyBorder="1"/>
    <xf numFmtId="0" fontId="0" fillId="5" borderId="4" xfId="0" applyFill="1" applyBorder="1"/>
    <xf numFmtId="0" fontId="3" fillId="6" borderId="0" xfId="0" applyFont="1" applyFill="1"/>
    <xf numFmtId="0" fontId="3" fillId="6" borderId="2" xfId="0" applyFont="1" applyFill="1" applyBorder="1"/>
    <xf numFmtId="0" fontId="3" fillId="6" borderId="6" xfId="0" applyFont="1" applyFill="1" applyBorder="1"/>
    <xf numFmtId="0" fontId="2" fillId="6" borderId="12" xfId="0" applyFont="1" applyFill="1" applyBorder="1"/>
    <xf numFmtId="0" fontId="2" fillId="6" borderId="10" xfId="0" applyFont="1" applyFill="1" applyBorder="1"/>
    <xf numFmtId="0" fontId="11" fillId="2" borderId="4" xfId="0" applyFont="1" applyFill="1" applyBorder="1"/>
    <xf numFmtId="0" fontId="0" fillId="2" borderId="3" xfId="0" applyFill="1" applyBorder="1"/>
    <xf numFmtId="0" fontId="8" fillId="6" borderId="8" xfId="0" applyFont="1" applyFill="1" applyBorder="1"/>
    <xf numFmtId="0" fontId="0" fillId="6" borderId="6" xfId="0" applyFill="1" applyBorder="1"/>
    <xf numFmtId="0" fontId="0" fillId="6" borderId="2" xfId="0" applyFill="1" applyBorder="1"/>
    <xf numFmtId="0" fontId="0" fillId="6" borderId="9" xfId="0" applyFill="1" applyBorder="1"/>
    <xf numFmtId="0" fontId="9" fillId="6" borderId="3" xfId="0" applyFont="1" applyFill="1" applyBorder="1"/>
    <xf numFmtId="0" fontId="0" fillId="6" borderId="4" xfId="0" applyFill="1" applyBorder="1"/>
    <xf numFmtId="0" fontId="9" fillId="6" borderId="7" xfId="0" applyFont="1" applyFill="1" applyBorder="1"/>
    <xf numFmtId="0" fontId="9" fillId="6" borderId="2" xfId="0" applyFont="1" applyFill="1" applyBorder="1"/>
    <xf numFmtId="0" fontId="0" fillId="6" borderId="3" xfId="0" applyFill="1" applyBorder="1"/>
    <xf numFmtId="0" fontId="11" fillId="6" borderId="4" xfId="0" applyFont="1" applyFill="1" applyBorder="1"/>
    <xf numFmtId="0" fontId="12" fillId="6" borderId="4" xfId="0" applyFont="1" applyFill="1" applyBorder="1"/>
    <xf numFmtId="0" fontId="9" fillId="6" borderId="4" xfId="0" applyFont="1" applyFill="1" applyBorder="1"/>
    <xf numFmtId="0" fontId="0" fillId="6" borderId="0" xfId="0" applyFill="1"/>
    <xf numFmtId="2" fontId="2" fillId="0" borderId="1" xfId="0" applyNumberFormat="1" applyFont="1" applyBorder="1"/>
    <xf numFmtId="0" fontId="15" fillId="7" borderId="4" xfId="1" applyBorder="1"/>
    <xf numFmtId="0" fontId="16" fillId="8" borderId="4" xfId="2" applyBorder="1"/>
    <xf numFmtId="0" fontId="2" fillId="6" borderId="2" xfId="0" applyFont="1" applyFill="1" applyBorder="1" applyAlignment="1">
      <alignment horizontal="left"/>
    </xf>
    <xf numFmtId="0" fontId="3" fillId="6" borderId="5" xfId="0" applyFont="1" applyFill="1" applyBorder="1"/>
    <xf numFmtId="0" fontId="3" fillId="6" borderId="3" xfId="0" applyFont="1" applyFill="1" applyBorder="1"/>
    <xf numFmtId="0" fontId="3" fillId="6" borderId="4" xfId="0" applyFont="1" applyFill="1" applyBorder="1" applyAlignment="1">
      <alignment horizontal="left"/>
    </xf>
    <xf numFmtId="0" fontId="3" fillId="6" borderId="4" xfId="0" applyFont="1" applyFill="1" applyBorder="1"/>
    <xf numFmtId="0" fontId="3" fillId="6" borderId="7" xfId="0" applyFont="1" applyFill="1" applyBorder="1"/>
    <xf numFmtId="0" fontId="2" fillId="6" borderId="2" xfId="0" applyFont="1" applyFill="1" applyBorder="1"/>
    <xf numFmtId="0" fontId="2" fillId="6" borderId="11" xfId="0" applyFont="1" applyFill="1" applyBorder="1"/>
    <xf numFmtId="0" fontId="3" fillId="6" borderId="2" xfId="0" quotePrefix="1" applyFont="1" applyFill="1" applyBorder="1"/>
    <xf numFmtId="0" fontId="3" fillId="6" borderId="2" xfId="0" applyFont="1" applyFill="1" applyBorder="1" applyAlignment="1">
      <alignment horizontal="left" indent="5"/>
    </xf>
    <xf numFmtId="0" fontId="2" fillId="6" borderId="3" xfId="0" applyFont="1" applyFill="1" applyBorder="1"/>
    <xf numFmtId="0" fontId="2" fillId="6" borderId="7" xfId="0" applyFont="1" applyFill="1" applyBorder="1"/>
    <xf numFmtId="0" fontId="2" fillId="6" borderId="4" xfId="0" applyFont="1" applyFill="1" applyBorder="1"/>
    <xf numFmtId="0" fontId="2" fillId="6" borderId="3" xfId="0" applyFont="1" applyFill="1" applyBorder="1" applyAlignment="1">
      <alignment horizontal="right"/>
    </xf>
    <xf numFmtId="0" fontId="2" fillId="6" borderId="7" xfId="0" applyFont="1" applyFill="1" applyBorder="1" applyAlignment="1">
      <alignment horizontal="right"/>
    </xf>
    <xf numFmtId="0" fontId="2" fillId="6" borderId="4" xfId="0" applyFont="1" applyFill="1" applyBorder="1" applyAlignment="1">
      <alignment horizontal="right"/>
    </xf>
    <xf numFmtId="0" fontId="3" fillId="6" borderId="3" xfId="0" applyFont="1" applyFill="1" applyBorder="1" applyAlignment="1">
      <alignment horizontal="right"/>
    </xf>
    <xf numFmtId="0" fontId="3" fillId="6" borderId="7" xfId="0" applyFont="1" applyFill="1" applyBorder="1" applyAlignment="1">
      <alignment horizontal="right"/>
    </xf>
    <xf numFmtId="0" fontId="3" fillId="6" borderId="4" xfId="0" applyFont="1" applyFill="1" applyBorder="1" applyAlignment="1">
      <alignment horizontal="right"/>
    </xf>
    <xf numFmtId="0" fontId="18" fillId="6" borderId="0" xfId="0" applyFont="1" applyFill="1" applyAlignment="1">
      <alignment horizontal="center" wrapText="1"/>
    </xf>
    <xf numFmtId="0" fontId="18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14" fillId="6" borderId="13" xfId="0" applyFont="1" applyFill="1" applyBorder="1" applyAlignment="1">
      <alignment horizontal="left" vertical="center" wrapText="1"/>
    </xf>
    <xf numFmtId="0" fontId="14" fillId="6" borderId="0" xfId="0" applyFont="1" applyFill="1" applyAlignment="1">
      <alignment horizontal="left" vertical="center" wrapText="1"/>
    </xf>
    <xf numFmtId="0" fontId="9" fillId="6" borderId="3" xfId="0" applyFont="1" applyFill="1" applyBorder="1"/>
    <xf numFmtId="0" fontId="9" fillId="6" borderId="7" xfId="0" applyFont="1" applyFill="1" applyBorder="1"/>
    <xf numFmtId="0" fontId="0" fillId="6" borderId="7" xfId="0" applyFill="1" applyBorder="1"/>
    <xf numFmtId="0" fontId="5" fillId="0" borderId="0" xfId="0" applyFont="1" applyAlignment="1">
      <alignment horizontal="center"/>
    </xf>
    <xf numFmtId="0" fontId="2" fillId="4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</cellXfs>
  <cellStyles count="3">
    <cellStyle name="Bad" xfId="2" builtinId="27"/>
    <cellStyle name="Good" xfId="1" builtinId="26"/>
    <cellStyle name="Normal" xfId="0" builtinId="0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72887</xdr:rowOff>
    </xdr:from>
    <xdr:to>
      <xdr:col>2</xdr:col>
      <xdr:colOff>114300</xdr:colOff>
      <xdr:row>2</xdr:row>
      <xdr:rowOff>189634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03E6F6-B09D-43E0-B8FD-F3A967FE26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39" r="4463" b="9371"/>
        <a:stretch/>
      </xdr:blipFill>
      <xdr:spPr>
        <a:xfrm>
          <a:off x="57150" y="72887"/>
          <a:ext cx="1409700" cy="5167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72887</xdr:rowOff>
    </xdr:from>
    <xdr:to>
      <xdr:col>2</xdr:col>
      <xdr:colOff>114300</xdr:colOff>
      <xdr:row>2</xdr:row>
      <xdr:rowOff>189634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E036A2-7929-4653-AC79-281F94C41D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39" r="4463" b="9371"/>
        <a:stretch/>
      </xdr:blipFill>
      <xdr:spPr>
        <a:xfrm>
          <a:off x="57150" y="72887"/>
          <a:ext cx="1409700" cy="5167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72887</xdr:rowOff>
    </xdr:from>
    <xdr:to>
      <xdr:col>2</xdr:col>
      <xdr:colOff>114300</xdr:colOff>
      <xdr:row>2</xdr:row>
      <xdr:rowOff>189634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690B21-3F3F-496A-BE40-B49569F107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39" r="4463" b="9371"/>
        <a:stretch/>
      </xdr:blipFill>
      <xdr:spPr>
        <a:xfrm>
          <a:off x="57150" y="72887"/>
          <a:ext cx="1409700" cy="516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52C81-BFF9-49DA-AF63-ADE8C1C60D54}">
  <dimension ref="A1:U203"/>
  <sheetViews>
    <sheetView tabSelected="1" zoomScale="130" zoomScaleNormal="130" zoomScalePageLayoutView="130" workbookViewId="0">
      <selection activeCell="I7" sqref="I7"/>
    </sheetView>
  </sheetViews>
  <sheetFormatPr defaultRowHeight="14.5" x14ac:dyDescent="0.35"/>
  <cols>
    <col min="2" max="2" width="10.7265625" customWidth="1"/>
    <col min="13" max="13" width="13.81640625" customWidth="1"/>
  </cols>
  <sheetData>
    <row r="1" spans="1:21" ht="20" x14ac:dyDescent="0.4">
      <c r="A1" s="24" t="s">
        <v>29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/>
      <c r="P1" s="25"/>
      <c r="Q1" s="25"/>
      <c r="R1" s="25"/>
      <c r="S1" s="25"/>
      <c r="T1" s="25"/>
      <c r="U1" s="27"/>
    </row>
    <row r="2" spans="1:21" x14ac:dyDescent="0.35">
      <c r="A2" s="14"/>
      <c r="B2" s="64" t="s">
        <v>41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1" x14ac:dyDescent="0.35">
      <c r="A3" s="16"/>
      <c r="B3" s="64" t="s">
        <v>42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1:21" x14ac:dyDescent="0.35">
      <c r="A4" s="38"/>
      <c r="B4" s="28" t="s">
        <v>43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1" x14ac:dyDescent="0.35">
      <c r="A5" s="39"/>
      <c r="B5" s="28" t="s">
        <v>44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x14ac:dyDescent="0.35">
      <c r="A6" s="29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31"/>
      <c r="N6" s="26"/>
      <c r="O6" s="26"/>
      <c r="P6" s="26"/>
      <c r="Q6" s="26"/>
      <c r="R6" s="26"/>
      <c r="S6" s="26"/>
      <c r="T6" s="26"/>
      <c r="U6" s="32"/>
    </row>
    <row r="7" spans="1:21" x14ac:dyDescent="0.35">
      <c r="A7" s="22" t="s">
        <v>38</v>
      </c>
      <c r="B7" s="23"/>
      <c r="C7" s="29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31"/>
      <c r="P7" s="26"/>
      <c r="Q7" s="26"/>
      <c r="R7" s="26"/>
      <c r="S7" s="26"/>
      <c r="T7" s="26"/>
      <c r="U7" s="32"/>
    </row>
    <row r="8" spans="1:21" x14ac:dyDescent="0.35">
      <c r="A8" s="34" t="s">
        <v>39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31"/>
      <c r="P8" s="26"/>
      <c r="Q8" s="26"/>
      <c r="R8" s="26"/>
      <c r="S8" s="26"/>
      <c r="T8" s="26"/>
      <c r="U8" s="32"/>
    </row>
    <row r="9" spans="1:21" x14ac:dyDescent="0.35">
      <c r="A9" s="33"/>
      <c r="B9" s="31" t="s">
        <v>40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31"/>
      <c r="P9" s="26"/>
      <c r="Q9" s="26"/>
      <c r="R9" s="26"/>
      <c r="S9" s="26"/>
      <c r="T9" s="26"/>
      <c r="U9" s="32"/>
    </row>
    <row r="10" spans="1:21" x14ac:dyDescent="0.35">
      <c r="A10" s="29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32"/>
    </row>
    <row r="11" spans="1:21" x14ac:dyDescent="0.35">
      <c r="A11" s="35"/>
      <c r="B11" s="31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32"/>
    </row>
    <row r="12" spans="1:21" x14ac:dyDescent="0.3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</row>
    <row r="13" spans="1:21" x14ac:dyDescent="0.3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</row>
    <row r="14" spans="1:21" x14ac:dyDescent="0.3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</row>
    <row r="15" spans="1:21" x14ac:dyDescent="0.3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spans="1:21" x14ac:dyDescent="0.3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1:21" x14ac:dyDescent="0.3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</row>
    <row r="18" spans="1:21" x14ac:dyDescent="0.3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</row>
    <row r="19" spans="1:21" x14ac:dyDescent="0.3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</row>
    <row r="20" spans="1:21" x14ac:dyDescent="0.3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</row>
    <row r="21" spans="1:21" x14ac:dyDescent="0.3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spans="1:21" x14ac:dyDescent="0.3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spans="1:21" x14ac:dyDescent="0.3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</row>
    <row r="24" spans="1:21" x14ac:dyDescent="0.3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</row>
    <row r="25" spans="1:21" x14ac:dyDescent="0.3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</row>
    <row r="26" spans="1:21" x14ac:dyDescent="0.3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</row>
    <row r="27" spans="1:21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</row>
    <row r="28" spans="1:21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</row>
    <row r="29" spans="1:21" x14ac:dyDescent="0.3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</row>
    <row r="30" spans="1:21" x14ac:dyDescent="0.3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</row>
    <row r="31" spans="1:21" x14ac:dyDescent="0.3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</row>
    <row r="32" spans="1:21" x14ac:dyDescent="0.3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</row>
    <row r="33" spans="1:21" x14ac:dyDescent="0.3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</row>
    <row r="34" spans="1:21" x14ac:dyDescent="0.3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</row>
    <row r="35" spans="1:21" x14ac:dyDescent="0.3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1:21" x14ac:dyDescent="0.3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1:21" x14ac:dyDescent="0.3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</row>
    <row r="38" spans="1:21" x14ac:dyDescent="0.3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</row>
    <row r="39" spans="1:21" x14ac:dyDescent="0.3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</row>
    <row r="40" spans="1:21" x14ac:dyDescent="0.3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</row>
    <row r="41" spans="1:21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</row>
    <row r="42" spans="1:21" x14ac:dyDescent="0.3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</row>
    <row r="43" spans="1:21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  <row r="44" spans="1:21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</row>
    <row r="45" spans="1:21" x14ac:dyDescent="0.3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</row>
    <row r="46" spans="1:21" x14ac:dyDescent="0.3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</row>
    <row r="47" spans="1:21" x14ac:dyDescent="0.3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</row>
    <row r="48" spans="1:21" x14ac:dyDescent="0.3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</row>
    <row r="49" spans="1:21" x14ac:dyDescent="0.3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</row>
    <row r="50" spans="1:21" x14ac:dyDescent="0.3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</row>
    <row r="51" spans="1:21" x14ac:dyDescent="0.3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</row>
    <row r="52" spans="1:21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</row>
    <row r="53" spans="1:21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</row>
    <row r="54" spans="1:21" x14ac:dyDescent="0.3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</row>
    <row r="55" spans="1:21" x14ac:dyDescent="0.3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</row>
    <row r="56" spans="1:21" x14ac:dyDescent="0.3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</row>
    <row r="57" spans="1:21" x14ac:dyDescent="0.3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</row>
    <row r="58" spans="1:21" x14ac:dyDescent="0.3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</row>
    <row r="59" spans="1:21" x14ac:dyDescent="0.3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</row>
    <row r="60" spans="1:21" x14ac:dyDescent="0.3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</row>
    <row r="61" spans="1:21" x14ac:dyDescent="0.3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</row>
    <row r="62" spans="1:21" x14ac:dyDescent="0.3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</row>
    <row r="63" spans="1:21" x14ac:dyDescent="0.3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</row>
    <row r="64" spans="1:21" x14ac:dyDescent="0.3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</row>
    <row r="65" spans="1:21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</row>
    <row r="66" spans="1:21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</row>
    <row r="67" spans="1:21" x14ac:dyDescent="0.3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</row>
    <row r="68" spans="1:21" x14ac:dyDescent="0.3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</row>
    <row r="69" spans="1:21" x14ac:dyDescent="0.3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</row>
    <row r="70" spans="1:21" x14ac:dyDescent="0.3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</row>
    <row r="71" spans="1:21" x14ac:dyDescent="0.3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</row>
    <row r="72" spans="1:21" x14ac:dyDescent="0.3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</row>
    <row r="73" spans="1:21" x14ac:dyDescent="0.3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</row>
    <row r="74" spans="1:21" x14ac:dyDescent="0.3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</row>
    <row r="75" spans="1:21" x14ac:dyDescent="0.3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</row>
    <row r="76" spans="1:21" x14ac:dyDescent="0.3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</row>
    <row r="77" spans="1:21" x14ac:dyDescent="0.3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</row>
    <row r="78" spans="1:21" x14ac:dyDescent="0.3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</row>
    <row r="79" spans="1:21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</row>
    <row r="80" spans="1:21" x14ac:dyDescent="0.3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</row>
    <row r="81" spans="1:21" x14ac:dyDescent="0.3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</row>
    <row r="82" spans="1:21" x14ac:dyDescent="0.3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</row>
    <row r="83" spans="1:21" x14ac:dyDescent="0.3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</row>
    <row r="84" spans="1:21" x14ac:dyDescent="0.3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</row>
    <row r="85" spans="1:21" x14ac:dyDescent="0.3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</row>
    <row r="86" spans="1:21" x14ac:dyDescent="0.3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</row>
    <row r="87" spans="1:21" x14ac:dyDescent="0.3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</row>
    <row r="88" spans="1:21" x14ac:dyDescent="0.3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</row>
    <row r="89" spans="1:21" x14ac:dyDescent="0.3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</row>
    <row r="90" spans="1:21" x14ac:dyDescent="0.3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</row>
    <row r="91" spans="1:21" x14ac:dyDescent="0.3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</row>
    <row r="92" spans="1:21" x14ac:dyDescent="0.3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</row>
    <row r="93" spans="1:21" x14ac:dyDescent="0.3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</row>
    <row r="94" spans="1:21" x14ac:dyDescent="0.3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</row>
    <row r="95" spans="1:21" x14ac:dyDescent="0.3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</row>
    <row r="96" spans="1:21" x14ac:dyDescent="0.3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</row>
    <row r="97" spans="1:21" x14ac:dyDescent="0.3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</row>
    <row r="98" spans="1:21" x14ac:dyDescent="0.3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</row>
    <row r="99" spans="1:21" x14ac:dyDescent="0.3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</row>
    <row r="100" spans="1:21" x14ac:dyDescent="0.3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</row>
    <row r="101" spans="1:21" x14ac:dyDescent="0.3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</row>
    <row r="102" spans="1:21" x14ac:dyDescent="0.3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</row>
    <row r="103" spans="1:21" x14ac:dyDescent="0.3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</row>
    <row r="104" spans="1:21" x14ac:dyDescent="0.3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</row>
    <row r="105" spans="1:21" x14ac:dyDescent="0.3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</row>
    <row r="106" spans="1:21" x14ac:dyDescent="0.3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</row>
    <row r="107" spans="1:21" x14ac:dyDescent="0.3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</row>
    <row r="108" spans="1:21" x14ac:dyDescent="0.3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</row>
    <row r="109" spans="1:21" x14ac:dyDescent="0.3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</row>
    <row r="110" spans="1:21" x14ac:dyDescent="0.3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</row>
    <row r="111" spans="1:21" x14ac:dyDescent="0.3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</row>
    <row r="112" spans="1:21" x14ac:dyDescent="0.3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</row>
    <row r="113" spans="1:21" x14ac:dyDescent="0.3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</row>
    <row r="114" spans="1:21" x14ac:dyDescent="0.3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</row>
    <row r="115" spans="1:21" x14ac:dyDescent="0.3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</row>
    <row r="116" spans="1:21" x14ac:dyDescent="0.3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</row>
    <row r="117" spans="1:21" x14ac:dyDescent="0.3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</row>
    <row r="118" spans="1:21" x14ac:dyDescent="0.3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</row>
    <row r="119" spans="1:21" x14ac:dyDescent="0.3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</row>
    <row r="120" spans="1:21" x14ac:dyDescent="0.3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</row>
    <row r="121" spans="1:21" x14ac:dyDescent="0.3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</row>
    <row r="122" spans="1:21" x14ac:dyDescent="0.3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</row>
    <row r="123" spans="1:21" x14ac:dyDescent="0.3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</row>
    <row r="124" spans="1:21" x14ac:dyDescent="0.3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</row>
    <row r="125" spans="1:21" x14ac:dyDescent="0.3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</row>
    <row r="126" spans="1:21" x14ac:dyDescent="0.3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</row>
    <row r="127" spans="1:21" x14ac:dyDescent="0.3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</row>
    <row r="128" spans="1:21" x14ac:dyDescent="0.3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</row>
    <row r="129" spans="1:21" x14ac:dyDescent="0.3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</row>
    <row r="130" spans="1:21" x14ac:dyDescent="0.3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</row>
    <row r="131" spans="1:21" x14ac:dyDescent="0.3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</row>
    <row r="132" spans="1:21" x14ac:dyDescent="0.3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</row>
    <row r="133" spans="1:21" x14ac:dyDescent="0.3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</row>
    <row r="134" spans="1:21" x14ac:dyDescent="0.3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</row>
    <row r="135" spans="1:21" x14ac:dyDescent="0.3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</row>
    <row r="136" spans="1:21" x14ac:dyDescent="0.3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</row>
    <row r="137" spans="1:21" x14ac:dyDescent="0.3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</row>
    <row r="138" spans="1:21" x14ac:dyDescent="0.3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</row>
    <row r="139" spans="1:21" x14ac:dyDescent="0.3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</row>
    <row r="140" spans="1:21" x14ac:dyDescent="0.3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</row>
    <row r="141" spans="1:21" x14ac:dyDescent="0.3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</row>
    <row r="142" spans="1:21" x14ac:dyDescent="0.3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</row>
    <row r="143" spans="1:21" x14ac:dyDescent="0.3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</row>
    <row r="144" spans="1:21" x14ac:dyDescent="0.3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</row>
    <row r="145" spans="1:21" x14ac:dyDescent="0.3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</row>
    <row r="146" spans="1:21" x14ac:dyDescent="0.3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</row>
    <row r="147" spans="1:21" x14ac:dyDescent="0.3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</row>
    <row r="148" spans="1:21" x14ac:dyDescent="0.3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</row>
    <row r="149" spans="1:21" x14ac:dyDescent="0.3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</row>
    <row r="150" spans="1:21" x14ac:dyDescent="0.3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</row>
    <row r="151" spans="1:21" x14ac:dyDescent="0.3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</row>
    <row r="152" spans="1:21" x14ac:dyDescent="0.3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</row>
    <row r="153" spans="1:21" x14ac:dyDescent="0.3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</row>
    <row r="154" spans="1:21" x14ac:dyDescent="0.3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</row>
    <row r="155" spans="1:21" x14ac:dyDescent="0.3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</row>
    <row r="156" spans="1:21" x14ac:dyDescent="0.3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</row>
    <row r="157" spans="1:21" x14ac:dyDescent="0.3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</row>
    <row r="158" spans="1:21" x14ac:dyDescent="0.3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</row>
    <row r="159" spans="1:21" x14ac:dyDescent="0.3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</row>
    <row r="160" spans="1:21" x14ac:dyDescent="0.3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</row>
    <row r="161" spans="1:21" x14ac:dyDescent="0.3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</row>
    <row r="162" spans="1:21" x14ac:dyDescent="0.3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</row>
    <row r="163" spans="1:21" x14ac:dyDescent="0.3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</row>
    <row r="164" spans="1:21" x14ac:dyDescent="0.3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</row>
    <row r="165" spans="1:21" x14ac:dyDescent="0.3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</row>
    <row r="166" spans="1:21" x14ac:dyDescent="0.3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</row>
    <row r="167" spans="1:21" x14ac:dyDescent="0.3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</row>
    <row r="168" spans="1:21" x14ac:dyDescent="0.3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</row>
    <row r="169" spans="1:21" x14ac:dyDescent="0.3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</row>
    <row r="170" spans="1:21" x14ac:dyDescent="0.3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</row>
    <row r="171" spans="1:21" x14ac:dyDescent="0.3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</row>
    <row r="172" spans="1:21" x14ac:dyDescent="0.3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</row>
    <row r="173" spans="1:21" x14ac:dyDescent="0.3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</row>
    <row r="174" spans="1:21" x14ac:dyDescent="0.3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</row>
    <row r="175" spans="1:21" x14ac:dyDescent="0.3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</row>
    <row r="176" spans="1:21" x14ac:dyDescent="0.3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</row>
    <row r="177" spans="1:21" x14ac:dyDescent="0.3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</row>
    <row r="178" spans="1:21" x14ac:dyDescent="0.3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</row>
    <row r="179" spans="1:21" x14ac:dyDescent="0.3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</row>
    <row r="180" spans="1:21" x14ac:dyDescent="0.3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</row>
    <row r="181" spans="1:21" x14ac:dyDescent="0.3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</row>
    <row r="182" spans="1:21" x14ac:dyDescent="0.3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</row>
    <row r="183" spans="1:21" x14ac:dyDescent="0.3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</row>
    <row r="184" spans="1:21" x14ac:dyDescent="0.3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</row>
    <row r="185" spans="1:21" x14ac:dyDescent="0.3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</row>
    <row r="186" spans="1:21" x14ac:dyDescent="0.3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</row>
    <row r="187" spans="1:21" x14ac:dyDescent="0.3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</row>
    <row r="188" spans="1:21" x14ac:dyDescent="0.3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</row>
    <row r="189" spans="1:21" x14ac:dyDescent="0.3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</row>
    <row r="190" spans="1:21" x14ac:dyDescent="0.3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</row>
    <row r="191" spans="1:21" x14ac:dyDescent="0.3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</row>
    <row r="192" spans="1:21" x14ac:dyDescent="0.3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</row>
    <row r="193" spans="1:21" x14ac:dyDescent="0.3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</row>
    <row r="194" spans="1:21" x14ac:dyDescent="0.3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</row>
    <row r="195" spans="1:21" x14ac:dyDescent="0.3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</row>
    <row r="196" spans="1:21" x14ac:dyDescent="0.3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</row>
    <row r="197" spans="1:21" x14ac:dyDescent="0.3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</row>
    <row r="198" spans="1:21" x14ac:dyDescent="0.3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</row>
    <row r="199" spans="1:21" x14ac:dyDescent="0.3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</row>
    <row r="200" spans="1:21" x14ac:dyDescent="0.3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</row>
    <row r="201" spans="1:21" x14ac:dyDescent="0.3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</row>
    <row r="202" spans="1:21" x14ac:dyDescent="0.3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</row>
    <row r="203" spans="1:21" x14ac:dyDescent="0.3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</row>
  </sheetData>
  <mergeCells count="2">
    <mergeCell ref="B3:U3"/>
    <mergeCell ref="B2:U2"/>
  </mergeCells>
  <pageMargins left="0.7" right="0.7" top="0.75" bottom="0.75" header="0.3" footer="0.3"/>
  <pageSetup scale="6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opLeftCell="A2" zoomScaleNormal="100" zoomScalePageLayoutView="85" workbookViewId="0">
      <selection activeCell="E10" sqref="E10"/>
    </sheetView>
  </sheetViews>
  <sheetFormatPr defaultColWidth="9.1796875" defaultRowHeight="15.5" x14ac:dyDescent="0.35"/>
  <cols>
    <col min="1" max="3" width="10.1796875" style="2" customWidth="1"/>
    <col min="4" max="4" width="1.1796875" style="2" customWidth="1"/>
    <col min="5" max="10" width="10.1796875" style="2" customWidth="1"/>
    <col min="11" max="16384" width="9.1796875" style="2"/>
  </cols>
  <sheetData>
    <row r="1" spans="1:11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5" customHeight="1" x14ac:dyDescent="0.5">
      <c r="A4" s="59" t="s">
        <v>45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25" customHeight="1" x14ac:dyDescent="0.5">
      <c r="A5" s="61" t="s">
        <v>47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x14ac:dyDescent="0.3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32.25" customHeight="1" x14ac:dyDescent="0.35">
      <c r="A7" s="62" t="s">
        <v>46</v>
      </c>
      <c r="B7" s="63"/>
      <c r="C7" s="63"/>
      <c r="D7" s="63"/>
      <c r="E7" s="63"/>
      <c r="F7" s="63"/>
      <c r="G7" s="63"/>
      <c r="H7" s="63"/>
      <c r="I7" s="63"/>
      <c r="J7" s="63"/>
      <c r="K7" s="63"/>
    </row>
    <row r="8" spans="1:11" ht="15.75" customHeight="1" x14ac:dyDescent="0.35">
      <c r="A8" s="40"/>
      <c r="B8" s="18"/>
      <c r="C8" s="18"/>
      <c r="D8" s="18"/>
      <c r="E8" s="41"/>
      <c r="F8" s="18"/>
      <c r="G8" s="18"/>
      <c r="H8" s="18"/>
      <c r="I8" s="17"/>
      <c r="J8" s="17"/>
      <c r="K8" s="17"/>
    </row>
    <row r="9" spans="1:11" x14ac:dyDescent="0.35">
      <c r="A9" s="50" t="s">
        <v>30</v>
      </c>
      <c r="B9" s="51"/>
      <c r="C9" s="51"/>
      <c r="D9" s="52"/>
      <c r="E9" s="41"/>
      <c r="F9" s="18"/>
      <c r="G9" s="18"/>
      <c r="H9" s="18"/>
      <c r="I9" s="17"/>
      <c r="J9" s="17"/>
      <c r="K9" s="17"/>
    </row>
    <row r="10" spans="1:11" x14ac:dyDescent="0.35">
      <c r="A10" s="56" t="s">
        <v>31</v>
      </c>
      <c r="B10" s="57"/>
      <c r="C10" s="58"/>
      <c r="D10" s="42"/>
      <c r="E10" s="8"/>
      <c r="F10" s="43" t="s">
        <v>13</v>
      </c>
      <c r="G10" s="18"/>
      <c r="H10" s="18"/>
      <c r="I10" s="17"/>
      <c r="J10" s="17"/>
      <c r="K10" s="17"/>
    </row>
    <row r="11" spans="1:11" x14ac:dyDescent="0.35">
      <c r="A11" s="56" t="s">
        <v>32</v>
      </c>
      <c r="B11" s="57"/>
      <c r="C11" s="58"/>
      <c r="D11" s="42"/>
      <c r="E11" s="8"/>
      <c r="F11" s="44" t="s">
        <v>13</v>
      </c>
      <c r="G11" s="41"/>
      <c r="H11" s="18"/>
      <c r="I11" s="17"/>
      <c r="J11" s="17"/>
      <c r="K11" s="17"/>
    </row>
    <row r="12" spans="1:11" x14ac:dyDescent="0.35">
      <c r="A12" s="56" t="s">
        <v>33</v>
      </c>
      <c r="B12" s="57"/>
      <c r="C12" s="58"/>
      <c r="D12" s="42"/>
      <c r="E12" s="8"/>
      <c r="F12" s="45" t="s">
        <v>17</v>
      </c>
      <c r="G12" s="15" t="str">
        <f>IF(ISBLANK(E12),"",(E12*17.1))</f>
        <v/>
      </c>
      <c r="H12" s="44" t="s">
        <v>19</v>
      </c>
      <c r="I12" s="17"/>
      <c r="J12" s="17"/>
      <c r="K12" s="17"/>
    </row>
    <row r="13" spans="1:11" x14ac:dyDescent="0.35">
      <c r="A13" s="18"/>
      <c r="B13" s="18"/>
      <c r="C13" s="18"/>
      <c r="D13" s="18"/>
      <c r="E13" s="19"/>
      <c r="F13" s="18"/>
      <c r="G13" s="19"/>
      <c r="H13" s="18"/>
      <c r="I13" s="17"/>
      <c r="J13" s="17"/>
      <c r="K13" s="17"/>
    </row>
    <row r="14" spans="1:11" x14ac:dyDescent="0.35">
      <c r="A14" s="50" t="s">
        <v>36</v>
      </c>
      <c r="B14" s="51"/>
      <c r="C14" s="51"/>
      <c r="D14" s="52"/>
      <c r="E14" s="41"/>
      <c r="F14" s="18"/>
      <c r="G14" s="18"/>
      <c r="H14" s="18"/>
      <c r="I14" s="17"/>
      <c r="J14" s="17"/>
      <c r="K14" s="17"/>
    </row>
    <row r="15" spans="1:11" x14ac:dyDescent="0.35">
      <c r="A15" s="56" t="s">
        <v>31</v>
      </c>
      <c r="B15" s="57"/>
      <c r="C15" s="58"/>
      <c r="D15" s="42"/>
      <c r="E15" s="15" t="str">
        <f>IF(ISBLANK(E10),"",((E10*2.17)+"120"))</f>
        <v/>
      </c>
      <c r="F15" s="44" t="s">
        <v>12</v>
      </c>
      <c r="G15" s="18"/>
      <c r="H15" s="18"/>
      <c r="I15" s="17"/>
      <c r="J15" s="17"/>
      <c r="K15" s="17"/>
    </row>
    <row r="16" spans="1:11" x14ac:dyDescent="0.35">
      <c r="A16" s="56" t="s">
        <v>32</v>
      </c>
      <c r="B16" s="57"/>
      <c r="C16" s="58"/>
      <c r="D16" s="42"/>
      <c r="E16" s="15" t="str">
        <f>IF(ISBLANK(E11),"",((E11*1.28)+14))</f>
        <v/>
      </c>
      <c r="F16" s="44" t="s">
        <v>12</v>
      </c>
      <c r="G16" s="18"/>
      <c r="H16" s="18"/>
      <c r="I16" s="17"/>
      <c r="J16" s="17"/>
      <c r="K16" s="17"/>
    </row>
    <row r="17" spans="1:11" x14ac:dyDescent="0.35">
      <c r="A17" s="56" t="s">
        <v>34</v>
      </c>
      <c r="B17" s="57"/>
      <c r="C17" s="58"/>
      <c r="D17" s="42"/>
      <c r="E17" s="15" t="str">
        <f>IF(SUM(E15:E16)=0,"",(SUM(E15:E16)))</f>
        <v/>
      </c>
      <c r="F17" s="44" t="s">
        <v>12</v>
      </c>
      <c r="G17" s="18"/>
      <c r="H17" s="18"/>
      <c r="I17" s="17"/>
      <c r="J17" s="17"/>
      <c r="K17" s="17"/>
    </row>
    <row r="18" spans="1:11" x14ac:dyDescent="0.35">
      <c r="A18" s="56" t="s">
        <v>35</v>
      </c>
      <c r="B18" s="57"/>
      <c r="C18" s="58"/>
      <c r="D18" s="42"/>
      <c r="E18" s="15" t="str">
        <f>IFERROR(G12+56,"")</f>
        <v/>
      </c>
      <c r="F18" s="44" t="s">
        <v>12</v>
      </c>
      <c r="G18" s="18"/>
      <c r="H18" s="18"/>
      <c r="I18" s="17"/>
      <c r="J18" s="17"/>
      <c r="K18" s="17"/>
    </row>
    <row r="19" spans="1:11" x14ac:dyDescent="0.35">
      <c r="A19" s="18"/>
      <c r="B19" s="18"/>
      <c r="C19" s="18"/>
      <c r="D19" s="18"/>
      <c r="E19" s="19"/>
      <c r="F19" s="18"/>
      <c r="G19" s="18"/>
      <c r="H19" s="18"/>
      <c r="I19" s="17"/>
      <c r="J19" s="17"/>
      <c r="K19" s="17"/>
    </row>
    <row r="20" spans="1:11" x14ac:dyDescent="0.35">
      <c r="A20" s="47" t="s">
        <v>23</v>
      </c>
      <c r="B20" s="20"/>
      <c r="C20" s="20"/>
      <c r="D20" s="20"/>
      <c r="E20" s="21"/>
      <c r="F20" s="18"/>
      <c r="G20" s="18"/>
      <c r="H20" s="18"/>
      <c r="I20" s="17"/>
      <c r="J20" s="17"/>
      <c r="K20" s="17"/>
    </row>
    <row r="21" spans="1:11" ht="16.5" customHeight="1" x14ac:dyDescent="0.35">
      <c r="A21" s="56" t="s">
        <v>37</v>
      </c>
      <c r="B21" s="57"/>
      <c r="C21" s="58"/>
      <c r="D21" s="42"/>
      <c r="E21" s="9"/>
      <c r="F21" s="44" t="s">
        <v>25</v>
      </c>
      <c r="G21" s="18"/>
      <c r="H21" s="18"/>
      <c r="I21" s="17"/>
      <c r="J21" s="17"/>
      <c r="K21" s="17"/>
    </row>
    <row r="22" spans="1:11" ht="16.5" customHeight="1" x14ac:dyDescent="0.35">
      <c r="A22" s="46"/>
      <c r="B22" s="18"/>
      <c r="C22" s="18"/>
      <c r="D22" s="18"/>
      <c r="E22" s="19"/>
      <c r="F22" s="18"/>
      <c r="G22" s="18"/>
      <c r="H22" s="18"/>
      <c r="I22" s="17"/>
      <c r="J22" s="17"/>
      <c r="K22" s="17"/>
    </row>
    <row r="23" spans="1:11" ht="16.5" customHeight="1" x14ac:dyDescent="0.35">
      <c r="A23" s="53" t="s">
        <v>48</v>
      </c>
      <c r="B23" s="54"/>
      <c r="C23" s="55"/>
      <c r="D23" s="20"/>
      <c r="E23" s="37" t="str">
        <f>IFERROR(((($G$12*6000/$E$21)+$E$17)/$E$18),"")</f>
        <v/>
      </c>
      <c r="F23" s="18"/>
      <c r="G23" s="18"/>
      <c r="H23" s="18"/>
      <c r="I23" s="17"/>
      <c r="J23" s="17"/>
      <c r="K23" s="17"/>
    </row>
    <row r="24" spans="1:11" x14ac:dyDescent="0.35">
      <c r="A24" s="40"/>
      <c r="B24" s="40"/>
      <c r="C24" s="40"/>
      <c r="D24" s="40"/>
      <c r="E24" s="40"/>
      <c r="F24" s="18"/>
      <c r="G24" s="18"/>
      <c r="H24" s="18"/>
      <c r="I24" s="17"/>
      <c r="J24" s="17"/>
      <c r="K24" s="17"/>
    </row>
    <row r="25" spans="1:11" x14ac:dyDescent="0.35">
      <c r="A25" s="46" t="s">
        <v>27</v>
      </c>
      <c r="B25" s="18"/>
      <c r="C25" s="18"/>
      <c r="D25" s="18"/>
      <c r="E25" s="18"/>
      <c r="F25" s="18"/>
      <c r="G25" s="18"/>
      <c r="H25" s="18"/>
      <c r="I25" s="17"/>
      <c r="J25" s="17"/>
      <c r="K25" s="17"/>
    </row>
    <row r="26" spans="1:11" x14ac:dyDescent="0.35">
      <c r="A26" s="46"/>
      <c r="B26" s="18"/>
      <c r="C26" s="18"/>
      <c r="D26" s="18"/>
      <c r="E26" s="18"/>
      <c r="F26" s="18"/>
      <c r="G26" s="18"/>
      <c r="H26" s="18"/>
      <c r="I26" s="17"/>
      <c r="J26" s="17"/>
      <c r="K26" s="17"/>
    </row>
    <row r="27" spans="1:11" x14ac:dyDescent="0.35">
      <c r="A27" s="18" t="s">
        <v>3</v>
      </c>
      <c r="B27" s="18"/>
      <c r="C27" s="18"/>
      <c r="D27" s="18"/>
      <c r="E27" s="18"/>
      <c r="F27" s="18"/>
      <c r="G27" s="18"/>
      <c r="H27" s="18"/>
      <c r="I27" s="17"/>
      <c r="J27" s="17"/>
      <c r="K27" s="17"/>
    </row>
    <row r="28" spans="1:11" x14ac:dyDescent="0.35">
      <c r="A28" s="13" t="str">
        <f>IFERROR(((($G$12*6000/4000)+$E$17)/$E$18),"")</f>
        <v/>
      </c>
      <c r="B28" s="48" t="s">
        <v>28</v>
      </c>
      <c r="C28" s="48"/>
      <c r="D28" s="18"/>
      <c r="E28" s="18"/>
      <c r="F28" s="18"/>
      <c r="G28" s="18"/>
      <c r="H28" s="18"/>
      <c r="I28" s="17"/>
      <c r="J28" s="17"/>
      <c r="K28" s="17"/>
    </row>
    <row r="29" spans="1:11" x14ac:dyDescent="0.35">
      <c r="A29" s="49"/>
      <c r="B29" s="18"/>
      <c r="C29" s="18"/>
      <c r="D29" s="18"/>
      <c r="E29" s="18"/>
      <c r="F29" s="18"/>
      <c r="G29" s="18"/>
      <c r="H29" s="18"/>
      <c r="I29" s="17"/>
      <c r="J29" s="17"/>
      <c r="K29" s="17"/>
    </row>
    <row r="30" spans="1:11" x14ac:dyDescent="0.35">
      <c r="A30" s="18" t="s">
        <v>4</v>
      </c>
      <c r="B30" s="18"/>
      <c r="C30" s="18"/>
      <c r="D30" s="18"/>
      <c r="E30" s="18"/>
      <c r="F30" s="18"/>
      <c r="G30" s="18"/>
      <c r="H30" s="18"/>
      <c r="I30" s="17"/>
      <c r="J30" s="17"/>
      <c r="K30" s="17"/>
    </row>
    <row r="31" spans="1:11" x14ac:dyDescent="0.35">
      <c r="A31" s="13" t="str">
        <f>IFERROR(((($G$12*6000/3000)+$E$17)/$E$18),"")</f>
        <v/>
      </c>
      <c r="B31" s="48" t="s">
        <v>20</v>
      </c>
      <c r="C31" s="48"/>
      <c r="D31" s="18"/>
      <c r="E31" s="18"/>
      <c r="F31" s="18"/>
      <c r="G31" s="18"/>
      <c r="H31" s="18"/>
      <c r="I31" s="17"/>
      <c r="J31" s="17"/>
      <c r="K31" s="17"/>
    </row>
    <row r="32" spans="1:11" x14ac:dyDescent="0.35">
      <c r="A32" s="49"/>
      <c r="B32" s="18"/>
      <c r="C32" s="18"/>
      <c r="D32" s="18"/>
      <c r="E32" s="18"/>
      <c r="F32" s="18"/>
      <c r="G32" s="18"/>
      <c r="H32" s="18"/>
      <c r="I32" s="17"/>
      <c r="J32" s="17"/>
      <c r="K32" s="17"/>
    </row>
    <row r="33" spans="1:12" x14ac:dyDescent="0.35">
      <c r="A33" s="18" t="s">
        <v>5</v>
      </c>
      <c r="B33" s="18"/>
      <c r="C33" s="18"/>
      <c r="D33" s="18"/>
      <c r="E33" s="18"/>
      <c r="F33" s="18"/>
      <c r="G33" s="18"/>
      <c r="H33" s="18"/>
      <c r="I33" s="17"/>
      <c r="J33" s="17"/>
      <c r="K33" s="17"/>
    </row>
    <row r="34" spans="1:12" x14ac:dyDescent="0.35">
      <c r="A34" s="13" t="str">
        <f>IFERROR(((($G$12*6000/2000)+$E$17)/$E$18),"")</f>
        <v/>
      </c>
      <c r="B34" s="48" t="s">
        <v>21</v>
      </c>
      <c r="C34" s="48"/>
      <c r="D34" s="18"/>
      <c r="E34" s="18"/>
      <c r="F34" s="18"/>
      <c r="G34" s="18"/>
      <c r="H34" s="18"/>
      <c r="I34" s="17"/>
      <c r="J34" s="17"/>
      <c r="K34" s="17"/>
    </row>
    <row r="35" spans="1:12" x14ac:dyDescent="0.35">
      <c r="A35" s="49"/>
      <c r="B35" s="18"/>
      <c r="C35" s="18"/>
      <c r="D35" s="18"/>
      <c r="E35" s="18"/>
      <c r="F35" s="18"/>
      <c r="G35" s="18"/>
      <c r="H35" s="18"/>
      <c r="I35" s="17"/>
      <c r="J35" s="17"/>
      <c r="K35" s="17"/>
    </row>
    <row r="36" spans="1:12" x14ac:dyDescent="0.35">
      <c r="A36" s="18" t="s">
        <v>6</v>
      </c>
      <c r="B36" s="18"/>
      <c r="C36" s="18"/>
      <c r="D36" s="18"/>
      <c r="E36" s="18"/>
      <c r="F36" s="18"/>
      <c r="G36" s="18"/>
      <c r="H36" s="18"/>
      <c r="I36" s="17"/>
      <c r="J36" s="17"/>
      <c r="K36" s="17"/>
    </row>
    <row r="37" spans="1:12" x14ac:dyDescent="0.35">
      <c r="A37" s="13" t="str">
        <f>IFERROR(((($G$12*6000/1000)+$E$17)/$E$18),"")</f>
        <v/>
      </c>
      <c r="B37" s="48" t="s">
        <v>22</v>
      </c>
      <c r="C37" s="48"/>
      <c r="D37" s="18"/>
      <c r="E37" s="18"/>
      <c r="F37" s="18"/>
      <c r="G37" s="18"/>
      <c r="H37" s="18"/>
      <c r="I37" s="17"/>
      <c r="J37" s="17"/>
      <c r="K37" s="17"/>
    </row>
    <row r="38" spans="1:12" x14ac:dyDescent="0.35">
      <c r="A38" s="49"/>
      <c r="B38" s="18"/>
      <c r="C38" s="18"/>
      <c r="D38" s="18"/>
      <c r="E38" s="18"/>
      <c r="F38" s="18"/>
      <c r="G38" s="18"/>
      <c r="H38" s="18"/>
      <c r="I38" s="17"/>
      <c r="J38" s="17"/>
      <c r="K38" s="17"/>
    </row>
    <row r="39" spans="1:12" x14ac:dyDescent="0.3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2" x14ac:dyDescent="0.3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1" spans="1:12" x14ac:dyDescent="0.3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1:12" x14ac:dyDescent="0.3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spans="1:12" x14ac:dyDescent="0.3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1:12" x14ac:dyDescent="0.3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1:12" x14ac:dyDescent="0.3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1:12" x14ac:dyDescent="0.3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</row>
  </sheetData>
  <sheetProtection sheet="1" objects="1" scenarios="1"/>
  <mergeCells count="12">
    <mergeCell ref="A23:C23"/>
    <mergeCell ref="A21:C21"/>
    <mergeCell ref="A4:K4"/>
    <mergeCell ref="A5:K5"/>
    <mergeCell ref="A7:K7"/>
    <mergeCell ref="A16:C16"/>
    <mergeCell ref="A15:C15"/>
    <mergeCell ref="A17:C17"/>
    <mergeCell ref="A18:C18"/>
    <mergeCell ref="A10:C10"/>
    <mergeCell ref="A11:C11"/>
    <mergeCell ref="A12:C12"/>
  </mergeCells>
  <conditionalFormatting sqref="E23">
    <cfRule type="cellIs" dxfId="44" priority="1" operator="equal">
      <formula>5</formula>
    </cfRule>
    <cfRule type="cellIs" dxfId="43" priority="2" operator="lessThan">
      <formula>5</formula>
    </cfRule>
    <cfRule type="cellIs" dxfId="42" priority="3" operator="greaterThan">
      <formula>5</formula>
    </cfRule>
    <cfRule type="cellIs" dxfId="41" priority="4" operator="lessThan">
      <formula>5.05</formula>
    </cfRule>
    <cfRule type="cellIs" dxfId="40" priority="5" operator="lessThan">
      <formula>5.1</formula>
    </cfRule>
    <cfRule type="cellIs" dxfId="39" priority="7" operator="greaterThan">
      <formula>5.1</formula>
    </cfRule>
    <cfRule type="cellIs" dxfId="38" priority="8" operator="greaterThan">
      <formula>5</formula>
    </cfRule>
    <cfRule type="cellIs" dxfId="37" priority="9" operator="lessThan">
      <formula>5.1</formula>
    </cfRule>
    <cfRule type="cellIs" dxfId="36" priority="10" operator="greaterThan">
      <formula>5</formula>
    </cfRule>
    <cfRule type="cellIs" dxfId="35" priority="11" operator="lessThan">
      <formula>5.1</formula>
    </cfRule>
    <cfRule type="cellIs" dxfId="34" priority="12" operator="greaterThan">
      <formula>5.5</formula>
    </cfRule>
    <cfRule type="cellIs" dxfId="33" priority="13" operator="between">
      <formula>5.1</formula>
      <formula>5.4</formula>
    </cfRule>
    <cfRule type="cellIs" dxfId="32" priority="14" operator="between">
      <formula>5.1</formula>
      <formula>5.9</formula>
    </cfRule>
    <cfRule type="cellIs" dxfId="31" priority="15" operator="greaterThan">
      <formula>5.9</formula>
    </cfRule>
    <cfRule type="cellIs" dxfId="30" priority="17" operator="greaterThan">
      <formula>5</formula>
    </cfRule>
  </conditionalFormatting>
  <dataValidations count="10">
    <dataValidation allowBlank="1" showInputMessage="1" showErrorMessage="1" promptTitle="Water Analysis" prompt="Please enter the information from your home's influent water analysis report." sqref="A9:D9" xr:uid="{B4987864-3C4F-447F-B221-75A38D4319C8}"/>
    <dataValidation allowBlank="1" showInputMessage="1" showErrorMessage="1" promptTitle="Sodium" prompt="According to the US EPA, the national average of sodium in drinking water across the US is 17 mg/L. However, sodium levels can reach as high as 500 mg/L." sqref="A10:C10" xr:uid="{0B6FF528-9E10-4B66-81D5-928E96090C39}"/>
    <dataValidation allowBlank="1" showInputMessage="1" showErrorMessage="1" promptTitle="Potassium" prompt="According to various sources, 1-8 mg/L K is the national average in drinking water across Canada." sqref="A11:C11" xr:uid="{6CC0B6DF-5ED8-4C89-A8B8-7AEE967E3940}"/>
    <dataValidation allowBlank="1" showInputMessage="1" showErrorMessage="1" promptTitle="Potassium" prompt="According to the WHO Potassium report, potassium discharge can range from 8-411 mg/L depending on the hardness of water. " sqref="A16:C16" xr:uid="{D56D19F0-2684-42BF-8182-FA5073ECFEB1}"/>
    <dataValidation allowBlank="1" showInputMessage="1" showErrorMessage="1" promptTitle="Wastewater Characteristic Values" prompt="These water characteristics are computed from average household waste values plus the data above within the influent water characteristics section. " sqref="A14:D14" xr:uid="{581B4061-B170-46FB-9EE2-D41F16668217}"/>
    <dataValidation allowBlank="1" showInputMessage="1" showErrorMessage="1" promptTitle="Salt Efficiency" prompt="As used in NSF/ANSI 44 and defined in NSF/ANSI 330: The hardness removal capacity of a water softener divided by the weight of salt that is utilized to achieve that amount of hardness removal." sqref="A21:C21" xr:uid="{414F0523-41C4-42FA-99FF-A2DE3FC7AF5F}"/>
    <dataValidation allowBlank="1" showInputMessage="1" showErrorMessage="1" promptTitle="Efficiency Rated Softeners" prompt="Per NSF/ANSI 44: Efficiency rated softener's salt efficiency shall have a rated salt efficiency of not less than 3350 grains of total hardness exchange per pound of salt." sqref="A20:E20" xr:uid="{B0B3CD9D-D215-4FAE-8A48-195EE99011E7}"/>
    <dataValidation allowBlank="1" showInputMessage="1" showErrorMessage="1" promptTitle="M/D Cation Ratio" prompt="Calculated for Actual Operational Salt Efficiency" sqref="A23 D23" xr:uid="{6DC9F2B8-EE26-49D4-BF0C-F90542FCFC8C}"/>
    <dataValidation allowBlank="1" showInputMessage="1" showErrorMessage="1" promptTitle="Values" prompt="A value of 5 or less minimizes potential septic system impacts" sqref="E23" xr:uid="{39BB2E35-4F37-48F4-ABCC-304CFAB14155}"/>
    <dataValidation allowBlank="1" showInputMessage="1" showErrorMessage="1" promptTitle="M/D Cation Ratio" prompt="A value of 5 or less minimizes potential septic system impacts" sqref="E23" xr:uid="{1F7CEBE0-877D-4CB3-9B99-2CB133F48269}"/>
  </dataValidations>
  <pageMargins left="0.25" right="0.25" top="1.25" bottom="0.75" header="0.3" footer="0.3"/>
  <pageSetup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D49EA-C764-44BB-BBF6-2C67DB354C20}">
  <dimension ref="A1:L46"/>
  <sheetViews>
    <sheetView topLeftCell="A5" zoomScaleNormal="100" zoomScalePageLayoutView="85" workbookViewId="0">
      <selection activeCell="E10" sqref="E10"/>
    </sheetView>
  </sheetViews>
  <sheetFormatPr defaultColWidth="9.1796875" defaultRowHeight="15.5" x14ac:dyDescent="0.35"/>
  <cols>
    <col min="1" max="3" width="10.1796875" style="2" customWidth="1"/>
    <col min="4" max="4" width="1.1796875" style="2" customWidth="1"/>
    <col min="5" max="10" width="10.1796875" style="2" customWidth="1"/>
    <col min="11" max="16384" width="9.1796875" style="2"/>
  </cols>
  <sheetData>
    <row r="1" spans="1:11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5" customHeight="1" x14ac:dyDescent="0.5">
      <c r="A4" s="59" t="s">
        <v>45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25" customHeight="1" x14ac:dyDescent="0.5">
      <c r="A5" s="61" t="s">
        <v>47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x14ac:dyDescent="0.3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32.25" customHeight="1" x14ac:dyDescent="0.35">
      <c r="A7" s="62" t="s">
        <v>46</v>
      </c>
      <c r="B7" s="63"/>
      <c r="C7" s="63"/>
      <c r="D7" s="63"/>
      <c r="E7" s="63"/>
      <c r="F7" s="63"/>
      <c r="G7" s="63"/>
      <c r="H7" s="63"/>
      <c r="I7" s="63"/>
      <c r="J7" s="63"/>
      <c r="K7" s="63"/>
    </row>
    <row r="8" spans="1:11" ht="15.75" customHeight="1" x14ac:dyDescent="0.35">
      <c r="A8" s="40"/>
      <c r="B8" s="18"/>
      <c r="C8" s="18"/>
      <c r="D8" s="18"/>
      <c r="E8" s="41"/>
      <c r="F8" s="18"/>
      <c r="G8" s="18"/>
      <c r="H8" s="18"/>
      <c r="I8" s="17"/>
      <c r="J8" s="17"/>
      <c r="K8" s="17"/>
    </row>
    <row r="9" spans="1:11" x14ac:dyDescent="0.35">
      <c r="A9" s="50" t="s">
        <v>30</v>
      </c>
      <c r="B9" s="51"/>
      <c r="C9" s="51"/>
      <c r="D9" s="52"/>
      <c r="E9" s="41"/>
      <c r="F9" s="18"/>
      <c r="G9" s="18"/>
      <c r="H9" s="18"/>
      <c r="I9" s="17"/>
      <c r="J9" s="17"/>
      <c r="K9" s="17"/>
    </row>
    <row r="10" spans="1:11" x14ac:dyDescent="0.35">
      <c r="A10" s="56" t="s">
        <v>31</v>
      </c>
      <c r="B10" s="57"/>
      <c r="C10" s="58"/>
      <c r="D10" s="42"/>
      <c r="E10" s="8">
        <v>17</v>
      </c>
      <c r="F10" s="43" t="s">
        <v>13</v>
      </c>
      <c r="G10" s="18"/>
      <c r="H10" s="18"/>
      <c r="I10" s="17"/>
      <c r="J10" s="17"/>
      <c r="K10" s="17"/>
    </row>
    <row r="11" spans="1:11" x14ac:dyDescent="0.35">
      <c r="A11" s="56" t="s">
        <v>32</v>
      </c>
      <c r="B11" s="57"/>
      <c r="C11" s="58"/>
      <c r="D11" s="42"/>
      <c r="E11" s="8">
        <v>8</v>
      </c>
      <c r="F11" s="44" t="s">
        <v>13</v>
      </c>
      <c r="G11" s="41"/>
      <c r="H11" s="18"/>
      <c r="I11" s="17"/>
      <c r="J11" s="17"/>
      <c r="K11" s="17"/>
    </row>
    <row r="12" spans="1:11" x14ac:dyDescent="0.35">
      <c r="A12" s="56" t="s">
        <v>33</v>
      </c>
      <c r="B12" s="57"/>
      <c r="C12" s="58"/>
      <c r="D12" s="42"/>
      <c r="E12" s="8">
        <v>10.5</v>
      </c>
      <c r="F12" s="45" t="s">
        <v>17</v>
      </c>
      <c r="G12" s="15">
        <f>IF(ISBLANK(E12),"",(E12*17.1))</f>
        <v>179.55</v>
      </c>
      <c r="H12" s="44" t="s">
        <v>19</v>
      </c>
      <c r="I12" s="17"/>
      <c r="J12" s="17"/>
      <c r="K12" s="17"/>
    </row>
    <row r="13" spans="1:11" x14ac:dyDescent="0.35">
      <c r="A13" s="18"/>
      <c r="B13" s="18"/>
      <c r="C13" s="18"/>
      <c r="D13" s="18"/>
      <c r="E13" s="19"/>
      <c r="F13" s="18"/>
      <c r="G13" s="19"/>
      <c r="H13" s="18"/>
      <c r="I13" s="17"/>
      <c r="J13" s="17"/>
      <c r="K13" s="17"/>
    </row>
    <row r="14" spans="1:11" x14ac:dyDescent="0.35">
      <c r="A14" s="50" t="s">
        <v>36</v>
      </c>
      <c r="B14" s="51"/>
      <c r="C14" s="51"/>
      <c r="D14" s="52"/>
      <c r="E14" s="41"/>
      <c r="F14" s="18"/>
      <c r="G14" s="18"/>
      <c r="H14" s="18"/>
      <c r="I14" s="17"/>
      <c r="J14" s="17"/>
      <c r="K14" s="17"/>
    </row>
    <row r="15" spans="1:11" x14ac:dyDescent="0.35">
      <c r="A15" s="56" t="s">
        <v>31</v>
      </c>
      <c r="B15" s="57"/>
      <c r="C15" s="58"/>
      <c r="D15" s="42"/>
      <c r="E15" s="15">
        <f>IF(ISBLANK(E10),"",((E10*2.17)+"120"))</f>
        <v>156.88999999999999</v>
      </c>
      <c r="F15" s="44" t="s">
        <v>12</v>
      </c>
      <c r="G15" s="18"/>
      <c r="H15" s="18"/>
      <c r="I15" s="17"/>
      <c r="J15" s="17"/>
      <c r="K15" s="17"/>
    </row>
    <row r="16" spans="1:11" x14ac:dyDescent="0.35">
      <c r="A16" s="56" t="s">
        <v>32</v>
      </c>
      <c r="B16" s="57"/>
      <c r="C16" s="58"/>
      <c r="D16" s="42"/>
      <c r="E16" s="15">
        <f>IF(ISBLANK(E11),"",((E11*1.28)+14))</f>
        <v>24.240000000000002</v>
      </c>
      <c r="F16" s="44" t="s">
        <v>12</v>
      </c>
      <c r="G16" s="18"/>
      <c r="H16" s="18"/>
      <c r="I16" s="17"/>
      <c r="J16" s="17"/>
      <c r="K16" s="17"/>
    </row>
    <row r="17" spans="1:11" x14ac:dyDescent="0.35">
      <c r="A17" s="56" t="s">
        <v>34</v>
      </c>
      <c r="B17" s="57"/>
      <c r="C17" s="58"/>
      <c r="D17" s="42"/>
      <c r="E17" s="15">
        <f>IF(SUM(E15:E16)=0,"",(SUM(E15:E16)))</f>
        <v>181.13</v>
      </c>
      <c r="F17" s="44" t="s">
        <v>12</v>
      </c>
      <c r="G17" s="18"/>
      <c r="H17" s="18"/>
      <c r="I17" s="17"/>
      <c r="J17" s="17"/>
      <c r="K17" s="17"/>
    </row>
    <row r="18" spans="1:11" x14ac:dyDescent="0.35">
      <c r="A18" s="56" t="s">
        <v>35</v>
      </c>
      <c r="B18" s="57"/>
      <c r="C18" s="58"/>
      <c r="D18" s="42"/>
      <c r="E18" s="15">
        <f>IFERROR(G12+56,"")</f>
        <v>235.55</v>
      </c>
      <c r="F18" s="44" t="s">
        <v>12</v>
      </c>
      <c r="G18" s="18"/>
      <c r="H18" s="18"/>
      <c r="I18" s="17"/>
      <c r="J18" s="17"/>
      <c r="K18" s="17"/>
    </row>
    <row r="19" spans="1:11" x14ac:dyDescent="0.35">
      <c r="A19" s="18"/>
      <c r="B19" s="18"/>
      <c r="C19" s="18"/>
      <c r="D19" s="18"/>
      <c r="E19" s="19"/>
      <c r="F19" s="18"/>
      <c r="G19" s="18"/>
      <c r="H19" s="18"/>
      <c r="I19" s="17"/>
      <c r="J19" s="17"/>
      <c r="K19" s="17"/>
    </row>
    <row r="20" spans="1:11" x14ac:dyDescent="0.35">
      <c r="A20" s="47" t="s">
        <v>23</v>
      </c>
      <c r="B20" s="20"/>
      <c r="C20" s="20"/>
      <c r="D20" s="20"/>
      <c r="E20" s="21"/>
      <c r="F20" s="18"/>
      <c r="G20" s="18"/>
      <c r="H20" s="18"/>
      <c r="I20" s="17"/>
      <c r="J20" s="17"/>
      <c r="K20" s="17"/>
    </row>
    <row r="21" spans="1:11" ht="16.5" customHeight="1" x14ac:dyDescent="0.35">
      <c r="A21" s="56" t="s">
        <v>37</v>
      </c>
      <c r="B21" s="57"/>
      <c r="C21" s="58"/>
      <c r="D21" s="42"/>
      <c r="E21" s="9">
        <v>3350</v>
      </c>
      <c r="F21" s="44" t="s">
        <v>25</v>
      </c>
      <c r="G21" s="18"/>
      <c r="H21" s="18"/>
      <c r="I21" s="17"/>
      <c r="J21" s="17"/>
      <c r="K21" s="17"/>
    </row>
    <row r="22" spans="1:11" ht="16.5" customHeight="1" x14ac:dyDescent="0.35">
      <c r="A22" s="46"/>
      <c r="B22" s="18"/>
      <c r="C22" s="18"/>
      <c r="D22" s="18"/>
      <c r="E22" s="19"/>
      <c r="F22" s="18"/>
      <c r="G22" s="18"/>
      <c r="H22" s="18"/>
      <c r="I22" s="17"/>
      <c r="J22" s="17"/>
      <c r="K22" s="17"/>
    </row>
    <row r="23" spans="1:11" ht="16.5" customHeight="1" x14ac:dyDescent="0.35">
      <c r="A23" s="53" t="s">
        <v>48</v>
      </c>
      <c r="B23" s="54"/>
      <c r="C23" s="55"/>
      <c r="D23" s="20"/>
      <c r="E23" s="37">
        <f>IFERROR(((($G$12*6000/$E$21)+$E$17)/$E$18),"")</f>
        <v>2.1342054321895088</v>
      </c>
      <c r="F23" s="18"/>
      <c r="G23" s="18"/>
      <c r="H23" s="18"/>
      <c r="I23" s="17"/>
      <c r="J23" s="17"/>
      <c r="K23" s="17"/>
    </row>
    <row r="24" spans="1:11" x14ac:dyDescent="0.35">
      <c r="A24" s="40"/>
      <c r="B24" s="40"/>
      <c r="C24" s="40"/>
      <c r="D24" s="40"/>
      <c r="E24" s="40"/>
      <c r="F24" s="18"/>
      <c r="G24" s="18"/>
      <c r="H24" s="18"/>
      <c r="I24" s="17"/>
      <c r="J24" s="17"/>
      <c r="K24" s="17"/>
    </row>
    <row r="25" spans="1:11" x14ac:dyDescent="0.35">
      <c r="A25" s="46" t="s">
        <v>27</v>
      </c>
      <c r="B25" s="18"/>
      <c r="C25" s="18"/>
      <c r="D25" s="18"/>
      <c r="E25" s="18"/>
      <c r="F25" s="18"/>
      <c r="G25" s="18"/>
      <c r="H25" s="18"/>
      <c r="I25" s="17"/>
      <c r="J25" s="17"/>
      <c r="K25" s="17"/>
    </row>
    <row r="26" spans="1:11" x14ac:dyDescent="0.35">
      <c r="A26" s="46"/>
      <c r="B26" s="18"/>
      <c r="C26" s="18"/>
      <c r="D26" s="18"/>
      <c r="E26" s="18"/>
      <c r="F26" s="18"/>
      <c r="G26" s="18"/>
      <c r="H26" s="18"/>
      <c r="I26" s="17"/>
      <c r="J26" s="17"/>
      <c r="K26" s="17"/>
    </row>
    <row r="27" spans="1:11" x14ac:dyDescent="0.35">
      <c r="A27" s="18" t="s">
        <v>3</v>
      </c>
      <c r="B27" s="18"/>
      <c r="C27" s="18"/>
      <c r="D27" s="18"/>
      <c r="E27" s="18"/>
      <c r="F27" s="18"/>
      <c r="G27" s="18"/>
      <c r="H27" s="18"/>
      <c r="I27" s="17"/>
      <c r="J27" s="17"/>
      <c r="K27" s="17"/>
    </row>
    <row r="28" spans="1:11" x14ac:dyDescent="0.35">
      <c r="A28" s="13">
        <f>IFERROR(((($G$12*6000/4000)+$E$17)/$E$18),"")</f>
        <v>1.912354064954362</v>
      </c>
      <c r="B28" s="48" t="s">
        <v>28</v>
      </c>
      <c r="C28" s="48"/>
      <c r="D28" s="18"/>
      <c r="E28" s="18"/>
      <c r="F28" s="18"/>
      <c r="G28" s="18"/>
      <c r="H28" s="18"/>
      <c r="I28" s="17"/>
      <c r="J28" s="17"/>
      <c r="K28" s="17"/>
    </row>
    <row r="29" spans="1:11" x14ac:dyDescent="0.35">
      <c r="A29" s="49"/>
      <c r="B29" s="18"/>
      <c r="C29" s="18"/>
      <c r="D29" s="18"/>
      <c r="E29" s="18"/>
      <c r="F29" s="18"/>
      <c r="G29" s="18"/>
      <c r="H29" s="18"/>
      <c r="I29" s="17"/>
      <c r="J29" s="17"/>
      <c r="K29" s="17"/>
    </row>
    <row r="30" spans="1:11" x14ac:dyDescent="0.35">
      <c r="A30" s="18" t="s">
        <v>4</v>
      </c>
      <c r="B30" s="18"/>
      <c r="C30" s="18"/>
      <c r="D30" s="18"/>
      <c r="E30" s="18"/>
      <c r="F30" s="18"/>
      <c r="G30" s="18"/>
      <c r="H30" s="18"/>
      <c r="I30" s="17"/>
      <c r="J30" s="17"/>
      <c r="K30" s="17"/>
    </row>
    <row r="31" spans="1:11" x14ac:dyDescent="0.35">
      <c r="A31" s="13">
        <f>IFERROR(((($G$12*6000/3000)+$E$17)/$E$18),"")</f>
        <v>2.2934833368711525</v>
      </c>
      <c r="B31" s="48" t="s">
        <v>20</v>
      </c>
      <c r="C31" s="48"/>
      <c r="D31" s="18"/>
      <c r="E31" s="18"/>
      <c r="F31" s="18"/>
      <c r="G31" s="18"/>
      <c r="H31" s="18"/>
      <c r="I31" s="17"/>
      <c r="J31" s="17"/>
      <c r="K31" s="17"/>
    </row>
    <row r="32" spans="1:11" x14ac:dyDescent="0.35">
      <c r="A32" s="49"/>
      <c r="B32" s="18"/>
      <c r="C32" s="18"/>
      <c r="D32" s="18"/>
      <c r="E32" s="18"/>
      <c r="F32" s="18"/>
      <c r="G32" s="18"/>
      <c r="H32" s="18"/>
      <c r="I32" s="17"/>
      <c r="J32" s="17"/>
      <c r="K32" s="17"/>
    </row>
    <row r="33" spans="1:12" x14ac:dyDescent="0.35">
      <c r="A33" s="18" t="s">
        <v>5</v>
      </c>
      <c r="B33" s="18"/>
      <c r="C33" s="18"/>
      <c r="D33" s="18"/>
      <c r="E33" s="18"/>
      <c r="F33" s="18"/>
      <c r="G33" s="18"/>
      <c r="H33" s="18"/>
      <c r="I33" s="17"/>
      <c r="J33" s="17"/>
      <c r="K33" s="17"/>
    </row>
    <row r="34" spans="1:12" x14ac:dyDescent="0.35">
      <c r="A34" s="13">
        <f>IFERROR(((($G$12*6000/2000)+$E$17)/$E$18),"")</f>
        <v>3.0557418807047334</v>
      </c>
      <c r="B34" s="48" t="s">
        <v>21</v>
      </c>
      <c r="C34" s="48"/>
      <c r="D34" s="18"/>
      <c r="E34" s="18"/>
      <c r="F34" s="18"/>
      <c r="G34" s="18"/>
      <c r="H34" s="18"/>
      <c r="I34" s="17"/>
      <c r="J34" s="17"/>
      <c r="K34" s="17"/>
    </row>
    <row r="35" spans="1:12" x14ac:dyDescent="0.35">
      <c r="A35" s="49"/>
      <c r="B35" s="18"/>
      <c r="C35" s="18"/>
      <c r="D35" s="18"/>
      <c r="E35" s="18"/>
      <c r="F35" s="18"/>
      <c r="G35" s="18"/>
      <c r="H35" s="18"/>
      <c r="I35" s="17"/>
      <c r="J35" s="17"/>
      <c r="K35" s="17"/>
    </row>
    <row r="36" spans="1:12" x14ac:dyDescent="0.35">
      <c r="A36" s="18" t="s">
        <v>6</v>
      </c>
      <c r="B36" s="18"/>
      <c r="C36" s="18"/>
      <c r="D36" s="18"/>
      <c r="E36" s="18"/>
      <c r="F36" s="18"/>
      <c r="G36" s="18"/>
      <c r="H36" s="18"/>
      <c r="I36" s="17"/>
      <c r="J36" s="17"/>
      <c r="K36" s="17"/>
    </row>
    <row r="37" spans="1:12" x14ac:dyDescent="0.35">
      <c r="A37" s="13">
        <f>IFERROR(((($G$12*6000/1000)+$E$17)/$E$18),"")</f>
        <v>5.3425175122054753</v>
      </c>
      <c r="B37" s="48" t="s">
        <v>22</v>
      </c>
      <c r="C37" s="48"/>
      <c r="D37" s="18"/>
      <c r="E37" s="18"/>
      <c r="F37" s="18"/>
      <c r="G37" s="18"/>
      <c r="H37" s="18"/>
      <c r="I37" s="17"/>
      <c r="J37" s="17"/>
      <c r="K37" s="17"/>
    </row>
    <row r="38" spans="1:12" x14ac:dyDescent="0.35">
      <c r="A38" s="49"/>
      <c r="B38" s="18"/>
      <c r="C38" s="18"/>
      <c r="D38" s="18"/>
      <c r="E38" s="18"/>
      <c r="F38" s="18"/>
      <c r="G38" s="18"/>
      <c r="H38" s="18"/>
      <c r="I38" s="17"/>
      <c r="J38" s="17"/>
      <c r="K38" s="17"/>
    </row>
    <row r="39" spans="1:12" x14ac:dyDescent="0.3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2" x14ac:dyDescent="0.3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1" spans="1:12" x14ac:dyDescent="0.3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1:12" x14ac:dyDescent="0.3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spans="1:12" x14ac:dyDescent="0.3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1:12" x14ac:dyDescent="0.3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1:12" x14ac:dyDescent="0.3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1:12" x14ac:dyDescent="0.3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</row>
  </sheetData>
  <sheetProtection sheet="1" objects="1" scenarios="1"/>
  <mergeCells count="12">
    <mergeCell ref="A23:C23"/>
    <mergeCell ref="A4:K4"/>
    <mergeCell ref="A5:K5"/>
    <mergeCell ref="A7:K7"/>
    <mergeCell ref="A10:C10"/>
    <mergeCell ref="A11:C11"/>
    <mergeCell ref="A12:C12"/>
    <mergeCell ref="A15:C15"/>
    <mergeCell ref="A16:C16"/>
    <mergeCell ref="A17:C17"/>
    <mergeCell ref="A18:C18"/>
    <mergeCell ref="A21:C21"/>
  </mergeCells>
  <conditionalFormatting sqref="E23">
    <cfRule type="cellIs" dxfId="29" priority="1" operator="equal">
      <formula>5</formula>
    </cfRule>
    <cfRule type="cellIs" dxfId="28" priority="2" operator="lessThan">
      <formula>5</formula>
    </cfRule>
    <cfRule type="cellIs" dxfId="27" priority="3" operator="greaterThan">
      <formula>5</formula>
    </cfRule>
    <cfRule type="cellIs" dxfId="26" priority="4" operator="lessThan">
      <formula>5.05</formula>
    </cfRule>
    <cfRule type="cellIs" dxfId="25" priority="5" operator="lessThan">
      <formula>5.1</formula>
    </cfRule>
    <cfRule type="cellIs" dxfId="24" priority="7" operator="greaterThan">
      <formula>5.1</formula>
    </cfRule>
    <cfRule type="cellIs" dxfId="23" priority="8" operator="greaterThan">
      <formula>5</formula>
    </cfRule>
    <cfRule type="cellIs" dxfId="22" priority="9" operator="lessThan">
      <formula>5.1</formula>
    </cfRule>
    <cfRule type="cellIs" dxfId="21" priority="10" operator="greaterThan">
      <formula>5</formula>
    </cfRule>
    <cfRule type="cellIs" dxfId="20" priority="11" operator="lessThan">
      <formula>5.1</formula>
    </cfRule>
    <cfRule type="cellIs" dxfId="19" priority="12" operator="greaterThan">
      <formula>5.5</formula>
    </cfRule>
    <cfRule type="cellIs" dxfId="18" priority="13" operator="between">
      <formula>5.1</formula>
      <formula>5.4</formula>
    </cfRule>
    <cfRule type="cellIs" dxfId="17" priority="14" operator="between">
      <formula>5.1</formula>
      <formula>5.9</formula>
    </cfRule>
    <cfRule type="cellIs" dxfId="16" priority="15" operator="greaterThan">
      <formula>5.9</formula>
    </cfRule>
    <cfRule type="cellIs" dxfId="15" priority="17" operator="greaterThan">
      <formula>5</formula>
    </cfRule>
  </conditionalFormatting>
  <dataValidations count="10">
    <dataValidation allowBlank="1" showInputMessage="1" showErrorMessage="1" promptTitle="M/D Cation Ratio" prompt="A value of 5 or less minimizes potential septic system impacts" sqref="E23" xr:uid="{7464C27B-2505-4896-ADF6-CDC2BFB208F2}"/>
    <dataValidation allowBlank="1" showInputMessage="1" showErrorMessage="1" promptTitle="Values" prompt="A value of 5 or less minimizes potential septic system impacts" sqref="E23" xr:uid="{EC58EE09-AFD1-4F2B-A97F-61507B90A144}"/>
    <dataValidation allowBlank="1" showInputMessage="1" showErrorMessage="1" promptTitle="M/D Cation Ratio" prompt="Calculated for Actual Operational Salt Efficiency" sqref="A23 D23" xr:uid="{D54B09D2-5DFD-452D-BE06-E50F8B3AB53F}"/>
    <dataValidation allowBlank="1" showInputMessage="1" showErrorMessage="1" promptTitle="Efficiency Rated Softeners" prompt="Per NSF/ANSI 44: Efficiency rated softener's salt efficiency shall have a rated salt efficiency of not less than 3350 grains of total hardness exchange per pound of salt." sqref="A20:E20" xr:uid="{545AC8C1-680F-4075-B3D2-EED0A81F1C00}"/>
    <dataValidation allowBlank="1" showInputMessage="1" showErrorMessage="1" promptTitle="Salt Efficiency" prompt="As used in NSF/ANSI 44 and defined in NSF/ANSI 330: The hardness removal capacity of a water softener divided by the weight of salt that is utilized to achieve that amount of hardness removal." sqref="A21:C21" xr:uid="{B61D49A9-349A-463A-977E-4FB790AAFD32}"/>
    <dataValidation allowBlank="1" showInputMessage="1" showErrorMessage="1" promptTitle="Wastewater Characteristic Values" prompt="These water characteristics are computed from average household waste values plus the data above within the influent water characteristics section. " sqref="A14:D14" xr:uid="{35265581-EF8D-42B5-AE9A-58E8AD57749C}"/>
    <dataValidation allowBlank="1" showInputMessage="1" showErrorMessage="1" promptTitle="Potassium" prompt="According to the WHO Potassium report, potassium discharge can range from 8-411 mg/L depending on the hardness of water. " sqref="A16:C16" xr:uid="{34144114-05AB-43E8-BE47-59004CD0F8EE}"/>
    <dataValidation allowBlank="1" showInputMessage="1" showErrorMessage="1" promptTitle="Potassium" prompt="According to various sources, 1-8 mg/L K is the national average in drinking water across Canada." sqref="A11:C11" xr:uid="{7F68F7EB-7604-4818-ADDA-2CD9397ED356}"/>
    <dataValidation allowBlank="1" showInputMessage="1" showErrorMessage="1" promptTitle="Sodium" prompt="According to the US EPA, the national average of sodium in drinking water across the US is 17 mg/L. However, sodium levels can reach as high as 500 mg/L." sqref="A10:C10" xr:uid="{B88CCC8D-43DD-4DBB-B5F9-AD6B80F29913}"/>
    <dataValidation allowBlank="1" showInputMessage="1" showErrorMessage="1" promptTitle="Water Analysis" prompt="Please enter the information from your home's influent water analysis report." sqref="A9:D9" xr:uid="{E2789FFC-7BCE-4625-97A1-6B74DBB3F4D3}"/>
  </dataValidations>
  <pageMargins left="0.25" right="0.25" top="1.25" bottom="0.75" header="0.3" footer="0.3"/>
  <pageSetup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2EDF2-CB61-408E-AF75-7497FE15D800}">
  <dimension ref="A1:L46"/>
  <sheetViews>
    <sheetView zoomScaleNormal="100" zoomScalePageLayoutView="85" workbookViewId="0">
      <selection activeCell="T22" sqref="T22"/>
    </sheetView>
  </sheetViews>
  <sheetFormatPr defaultColWidth="9.1796875" defaultRowHeight="15.5" x14ac:dyDescent="0.35"/>
  <cols>
    <col min="1" max="3" width="10.1796875" style="2" customWidth="1"/>
    <col min="4" max="4" width="1.1796875" style="2" customWidth="1"/>
    <col min="5" max="10" width="10.1796875" style="2" customWidth="1"/>
    <col min="11" max="16384" width="9.1796875" style="2"/>
  </cols>
  <sheetData>
    <row r="1" spans="1:11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5" customHeight="1" x14ac:dyDescent="0.5">
      <c r="A4" s="59" t="s">
        <v>45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25" customHeight="1" x14ac:dyDescent="0.5">
      <c r="A5" s="61" t="s">
        <v>47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x14ac:dyDescent="0.3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32.25" customHeight="1" x14ac:dyDescent="0.35">
      <c r="A7" s="62" t="s">
        <v>46</v>
      </c>
      <c r="B7" s="63"/>
      <c r="C7" s="63"/>
      <c r="D7" s="63"/>
      <c r="E7" s="63"/>
      <c r="F7" s="63"/>
      <c r="G7" s="63"/>
      <c r="H7" s="63"/>
      <c r="I7" s="63"/>
      <c r="J7" s="63"/>
      <c r="K7" s="63"/>
    </row>
    <row r="8" spans="1:11" ht="15.75" customHeight="1" x14ac:dyDescent="0.35">
      <c r="A8" s="40"/>
      <c r="B8" s="18"/>
      <c r="C8" s="18"/>
      <c r="D8" s="18"/>
      <c r="E8" s="41"/>
      <c r="F8" s="18"/>
      <c r="G8" s="18"/>
      <c r="H8" s="18"/>
      <c r="I8" s="17"/>
      <c r="J8" s="17"/>
      <c r="K8" s="17"/>
    </row>
    <row r="9" spans="1:11" x14ac:dyDescent="0.35">
      <c r="A9" s="50" t="s">
        <v>30</v>
      </c>
      <c r="B9" s="51"/>
      <c r="C9" s="51"/>
      <c r="D9" s="52"/>
      <c r="E9" s="41"/>
      <c r="F9" s="18"/>
      <c r="G9" s="18"/>
      <c r="H9" s="18"/>
      <c r="I9" s="17"/>
      <c r="J9" s="17"/>
      <c r="K9" s="17"/>
    </row>
    <row r="10" spans="1:11" x14ac:dyDescent="0.35">
      <c r="A10" s="56" t="s">
        <v>31</v>
      </c>
      <c r="B10" s="57"/>
      <c r="C10" s="58"/>
      <c r="D10" s="42"/>
      <c r="E10" s="8">
        <v>200</v>
      </c>
      <c r="F10" s="43" t="s">
        <v>13</v>
      </c>
      <c r="G10" s="18"/>
      <c r="H10" s="18"/>
      <c r="I10" s="17"/>
      <c r="J10" s="17"/>
      <c r="K10" s="17"/>
    </row>
    <row r="11" spans="1:11" x14ac:dyDescent="0.35">
      <c r="A11" s="56" t="s">
        <v>32</v>
      </c>
      <c r="B11" s="57"/>
      <c r="C11" s="58"/>
      <c r="D11" s="42"/>
      <c r="E11" s="8">
        <v>8</v>
      </c>
      <c r="F11" s="44" t="s">
        <v>13</v>
      </c>
      <c r="G11" s="41"/>
      <c r="H11" s="18"/>
      <c r="I11" s="17"/>
      <c r="J11" s="17"/>
      <c r="K11" s="17"/>
    </row>
    <row r="12" spans="1:11" x14ac:dyDescent="0.35">
      <c r="A12" s="56" t="s">
        <v>33</v>
      </c>
      <c r="B12" s="57"/>
      <c r="C12" s="58"/>
      <c r="D12" s="42"/>
      <c r="E12" s="8">
        <v>10.5</v>
      </c>
      <c r="F12" s="45" t="s">
        <v>17</v>
      </c>
      <c r="G12" s="15">
        <f>IF(ISBLANK(E12),"",(E12*17.1))</f>
        <v>179.55</v>
      </c>
      <c r="H12" s="44" t="s">
        <v>19</v>
      </c>
      <c r="I12" s="17"/>
      <c r="J12" s="17"/>
      <c r="K12" s="17"/>
    </row>
    <row r="13" spans="1:11" x14ac:dyDescent="0.35">
      <c r="A13" s="18"/>
      <c r="B13" s="18"/>
      <c r="C13" s="18"/>
      <c r="D13" s="18"/>
      <c r="E13" s="19"/>
      <c r="F13" s="18"/>
      <c r="G13" s="19"/>
      <c r="H13" s="18"/>
      <c r="I13" s="17"/>
      <c r="J13" s="17"/>
      <c r="K13" s="17"/>
    </row>
    <row r="14" spans="1:11" x14ac:dyDescent="0.35">
      <c r="A14" s="50" t="s">
        <v>36</v>
      </c>
      <c r="B14" s="51"/>
      <c r="C14" s="51"/>
      <c r="D14" s="52"/>
      <c r="E14" s="41"/>
      <c r="F14" s="18"/>
      <c r="G14" s="18"/>
      <c r="H14" s="18"/>
      <c r="I14" s="17"/>
      <c r="J14" s="17"/>
      <c r="K14" s="17"/>
    </row>
    <row r="15" spans="1:11" x14ac:dyDescent="0.35">
      <c r="A15" s="56" t="s">
        <v>31</v>
      </c>
      <c r="B15" s="57"/>
      <c r="C15" s="58"/>
      <c r="D15" s="42"/>
      <c r="E15" s="15">
        <f>IF(ISBLANK(E10),"",((E10*2.17)+"120"))</f>
        <v>554</v>
      </c>
      <c r="F15" s="44" t="s">
        <v>12</v>
      </c>
      <c r="G15" s="18"/>
      <c r="H15" s="18"/>
      <c r="I15" s="17"/>
      <c r="J15" s="17"/>
      <c r="K15" s="17"/>
    </row>
    <row r="16" spans="1:11" x14ac:dyDescent="0.35">
      <c r="A16" s="56" t="s">
        <v>32</v>
      </c>
      <c r="B16" s="57"/>
      <c r="C16" s="58"/>
      <c r="D16" s="42"/>
      <c r="E16" s="15">
        <f>IF(ISBLANK(E11),"",((E11*1.28)+14))</f>
        <v>24.240000000000002</v>
      </c>
      <c r="F16" s="44" t="s">
        <v>12</v>
      </c>
      <c r="G16" s="18"/>
      <c r="H16" s="18"/>
      <c r="I16" s="17"/>
      <c r="J16" s="17"/>
      <c r="K16" s="17"/>
    </row>
    <row r="17" spans="1:11" x14ac:dyDescent="0.35">
      <c r="A17" s="56" t="s">
        <v>34</v>
      </c>
      <c r="B17" s="57"/>
      <c r="C17" s="58"/>
      <c r="D17" s="42"/>
      <c r="E17" s="15">
        <f>IF(SUM(E15:E16)=0,"",(SUM(E15:E16)))</f>
        <v>578.24</v>
      </c>
      <c r="F17" s="44" t="s">
        <v>12</v>
      </c>
      <c r="G17" s="18"/>
      <c r="H17" s="18"/>
      <c r="I17" s="17"/>
      <c r="J17" s="17"/>
      <c r="K17" s="17"/>
    </row>
    <row r="18" spans="1:11" x14ac:dyDescent="0.35">
      <c r="A18" s="56" t="s">
        <v>35</v>
      </c>
      <c r="B18" s="57"/>
      <c r="C18" s="58"/>
      <c r="D18" s="42"/>
      <c r="E18" s="15">
        <f>IFERROR(G12+56,"")</f>
        <v>235.55</v>
      </c>
      <c r="F18" s="44" t="s">
        <v>12</v>
      </c>
      <c r="G18" s="18"/>
      <c r="H18" s="18"/>
      <c r="I18" s="17"/>
      <c r="J18" s="17"/>
      <c r="K18" s="17"/>
    </row>
    <row r="19" spans="1:11" x14ac:dyDescent="0.35">
      <c r="A19" s="18"/>
      <c r="B19" s="18"/>
      <c r="C19" s="18"/>
      <c r="D19" s="18"/>
      <c r="E19" s="19"/>
      <c r="F19" s="18"/>
      <c r="G19" s="18"/>
      <c r="H19" s="18"/>
      <c r="I19" s="17"/>
      <c r="J19" s="17"/>
      <c r="K19" s="17"/>
    </row>
    <row r="20" spans="1:11" x14ac:dyDescent="0.35">
      <c r="A20" s="47" t="s">
        <v>23</v>
      </c>
      <c r="B20" s="20"/>
      <c r="C20" s="20"/>
      <c r="D20" s="20"/>
      <c r="E20" s="21"/>
      <c r="F20" s="18"/>
      <c r="G20" s="18"/>
      <c r="H20" s="18"/>
      <c r="I20" s="17"/>
      <c r="J20" s="17"/>
      <c r="K20" s="17"/>
    </row>
    <row r="21" spans="1:11" ht="16.5" customHeight="1" x14ac:dyDescent="0.35">
      <c r="A21" s="56" t="s">
        <v>37</v>
      </c>
      <c r="B21" s="57"/>
      <c r="C21" s="58"/>
      <c r="D21" s="42"/>
      <c r="E21" s="9">
        <v>1700</v>
      </c>
      <c r="F21" s="44" t="s">
        <v>25</v>
      </c>
      <c r="G21" s="18"/>
      <c r="H21" s="18"/>
      <c r="I21" s="17"/>
      <c r="J21" s="17"/>
      <c r="K21" s="17"/>
    </row>
    <row r="22" spans="1:11" ht="16.5" customHeight="1" x14ac:dyDescent="0.35">
      <c r="A22" s="46"/>
      <c r="B22" s="18"/>
      <c r="C22" s="18"/>
      <c r="D22" s="18"/>
      <c r="E22" s="19"/>
      <c r="F22" s="18"/>
      <c r="G22" s="18"/>
      <c r="H22" s="18"/>
      <c r="I22" s="17"/>
      <c r="J22" s="17"/>
      <c r="K22" s="17"/>
    </row>
    <row r="23" spans="1:11" ht="16.5" customHeight="1" x14ac:dyDescent="0.35">
      <c r="A23" s="53" t="s">
        <v>48</v>
      </c>
      <c r="B23" s="54"/>
      <c r="C23" s="55"/>
      <c r="D23" s="20"/>
      <c r="E23" s="37">
        <f>IFERROR(((($G$12*6000/$E$21)+$E$17)/$E$18),"")</f>
        <v>5.1451746225979251</v>
      </c>
      <c r="F23" s="18"/>
      <c r="G23" s="18"/>
      <c r="H23" s="18"/>
      <c r="I23" s="17"/>
      <c r="J23" s="17"/>
      <c r="K23" s="17"/>
    </row>
    <row r="24" spans="1:11" x14ac:dyDescent="0.35">
      <c r="A24" s="40"/>
      <c r="B24" s="40"/>
      <c r="C24" s="40"/>
      <c r="D24" s="40"/>
      <c r="E24" s="40"/>
      <c r="F24" s="18"/>
      <c r="G24" s="18"/>
      <c r="H24" s="18"/>
      <c r="I24" s="17"/>
      <c r="J24" s="17"/>
      <c r="K24" s="17"/>
    </row>
    <row r="25" spans="1:11" x14ac:dyDescent="0.35">
      <c r="A25" s="46" t="s">
        <v>27</v>
      </c>
      <c r="B25" s="18"/>
      <c r="C25" s="18"/>
      <c r="D25" s="18"/>
      <c r="E25" s="18"/>
      <c r="F25" s="18"/>
      <c r="G25" s="18"/>
      <c r="H25" s="18"/>
      <c r="I25" s="17"/>
      <c r="J25" s="17"/>
      <c r="K25" s="17"/>
    </row>
    <row r="26" spans="1:11" x14ac:dyDescent="0.35">
      <c r="A26" s="46"/>
      <c r="B26" s="18"/>
      <c r="C26" s="18"/>
      <c r="D26" s="18"/>
      <c r="E26" s="18"/>
      <c r="F26" s="18"/>
      <c r="G26" s="18"/>
      <c r="H26" s="18"/>
      <c r="I26" s="17"/>
      <c r="J26" s="17"/>
      <c r="K26" s="17"/>
    </row>
    <row r="27" spans="1:11" x14ac:dyDescent="0.35">
      <c r="A27" s="18" t="s">
        <v>3</v>
      </c>
      <c r="B27" s="18"/>
      <c r="C27" s="18"/>
      <c r="D27" s="18"/>
      <c r="E27" s="18"/>
      <c r="F27" s="18"/>
      <c r="G27" s="18"/>
      <c r="H27" s="18"/>
      <c r="I27" s="17"/>
      <c r="J27" s="17"/>
      <c r="K27" s="17"/>
    </row>
    <row r="28" spans="1:11" x14ac:dyDescent="0.35">
      <c r="A28" s="13">
        <f>IFERROR(((($G$12*6000/4000)+$E$17)/$E$18),"")</f>
        <v>3.5982381659944811</v>
      </c>
      <c r="B28" s="48" t="s">
        <v>28</v>
      </c>
      <c r="C28" s="48"/>
      <c r="D28" s="18"/>
      <c r="E28" s="18"/>
      <c r="F28" s="18"/>
      <c r="G28" s="18"/>
      <c r="H28" s="18"/>
      <c r="I28" s="17"/>
      <c r="J28" s="17"/>
      <c r="K28" s="17"/>
    </row>
    <row r="29" spans="1:11" x14ac:dyDescent="0.35">
      <c r="A29" s="49"/>
      <c r="B29" s="18"/>
      <c r="C29" s="18"/>
      <c r="D29" s="18"/>
      <c r="E29" s="18"/>
      <c r="F29" s="18"/>
      <c r="G29" s="18"/>
      <c r="H29" s="18"/>
      <c r="I29" s="17"/>
      <c r="J29" s="17"/>
      <c r="K29" s="17"/>
    </row>
    <row r="30" spans="1:11" x14ac:dyDescent="0.35">
      <c r="A30" s="18" t="s">
        <v>4</v>
      </c>
      <c r="B30" s="18"/>
      <c r="C30" s="18"/>
      <c r="D30" s="18"/>
      <c r="E30" s="18"/>
      <c r="F30" s="18"/>
      <c r="G30" s="18"/>
      <c r="H30" s="18"/>
      <c r="I30" s="17"/>
      <c r="J30" s="17"/>
      <c r="K30" s="17"/>
    </row>
    <row r="31" spans="1:11" x14ac:dyDescent="0.35">
      <c r="A31" s="13">
        <f>IFERROR(((($G$12*6000/3000)+$E$17)/$E$18),"")</f>
        <v>3.9793674379112716</v>
      </c>
      <c r="B31" s="48" t="s">
        <v>20</v>
      </c>
      <c r="C31" s="48"/>
      <c r="D31" s="18"/>
      <c r="E31" s="18"/>
      <c r="F31" s="18"/>
      <c r="G31" s="18"/>
      <c r="H31" s="18"/>
      <c r="I31" s="17"/>
      <c r="J31" s="17"/>
      <c r="K31" s="17"/>
    </row>
    <row r="32" spans="1:11" x14ac:dyDescent="0.35">
      <c r="A32" s="49"/>
      <c r="B32" s="18"/>
      <c r="C32" s="18"/>
      <c r="D32" s="18"/>
      <c r="E32" s="18"/>
      <c r="F32" s="18"/>
      <c r="G32" s="18"/>
      <c r="H32" s="18"/>
      <c r="I32" s="17"/>
      <c r="J32" s="17"/>
      <c r="K32" s="17"/>
    </row>
    <row r="33" spans="1:12" x14ac:dyDescent="0.35">
      <c r="A33" s="18" t="s">
        <v>5</v>
      </c>
      <c r="B33" s="18"/>
      <c r="C33" s="18"/>
      <c r="D33" s="18"/>
      <c r="E33" s="18"/>
      <c r="F33" s="18"/>
      <c r="G33" s="18"/>
      <c r="H33" s="18"/>
      <c r="I33" s="17"/>
      <c r="J33" s="17"/>
      <c r="K33" s="17"/>
    </row>
    <row r="34" spans="1:12" x14ac:dyDescent="0.35">
      <c r="A34" s="13">
        <f>IFERROR(((($G$12*6000/2000)+$E$17)/$E$18),"")</f>
        <v>4.7416259817448516</v>
      </c>
      <c r="B34" s="48" t="s">
        <v>21</v>
      </c>
      <c r="C34" s="48"/>
      <c r="D34" s="18"/>
      <c r="E34" s="18"/>
      <c r="F34" s="18"/>
      <c r="G34" s="18"/>
      <c r="H34" s="18"/>
      <c r="I34" s="17"/>
      <c r="J34" s="17"/>
      <c r="K34" s="17"/>
    </row>
    <row r="35" spans="1:12" x14ac:dyDescent="0.35">
      <c r="A35" s="49"/>
      <c r="B35" s="18"/>
      <c r="C35" s="18"/>
      <c r="D35" s="18"/>
      <c r="E35" s="18"/>
      <c r="F35" s="18"/>
      <c r="G35" s="18"/>
      <c r="H35" s="18"/>
      <c r="I35" s="17"/>
      <c r="J35" s="17"/>
      <c r="K35" s="17"/>
    </row>
    <row r="36" spans="1:12" x14ac:dyDescent="0.35">
      <c r="A36" s="18" t="s">
        <v>6</v>
      </c>
      <c r="B36" s="18"/>
      <c r="C36" s="18"/>
      <c r="D36" s="18"/>
      <c r="E36" s="18"/>
      <c r="F36" s="18"/>
      <c r="G36" s="18"/>
      <c r="H36" s="18"/>
      <c r="I36" s="17"/>
      <c r="J36" s="17"/>
      <c r="K36" s="17"/>
    </row>
    <row r="37" spans="1:12" x14ac:dyDescent="0.35">
      <c r="A37" s="13">
        <f>IFERROR(((($G$12*6000/1000)+$E$17)/$E$18),"")</f>
        <v>7.0284016132455953</v>
      </c>
      <c r="B37" s="48" t="s">
        <v>22</v>
      </c>
      <c r="C37" s="48"/>
      <c r="D37" s="18"/>
      <c r="E37" s="18"/>
      <c r="F37" s="18"/>
      <c r="G37" s="18"/>
      <c r="H37" s="18"/>
      <c r="I37" s="17"/>
      <c r="J37" s="17"/>
      <c r="K37" s="17"/>
    </row>
    <row r="38" spans="1:12" x14ac:dyDescent="0.35">
      <c r="A38" s="49"/>
      <c r="B38" s="18"/>
      <c r="C38" s="18"/>
      <c r="D38" s="18"/>
      <c r="E38" s="18"/>
      <c r="F38" s="18"/>
      <c r="G38" s="18"/>
      <c r="H38" s="18"/>
      <c r="I38" s="17"/>
      <c r="J38" s="17"/>
      <c r="K38" s="17"/>
    </row>
    <row r="39" spans="1:12" x14ac:dyDescent="0.3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2" x14ac:dyDescent="0.3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1" spans="1:12" x14ac:dyDescent="0.3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1:12" x14ac:dyDescent="0.3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spans="1:12" x14ac:dyDescent="0.3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1:12" x14ac:dyDescent="0.3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1:12" x14ac:dyDescent="0.3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1:12" x14ac:dyDescent="0.3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</row>
  </sheetData>
  <sheetProtection sheet="1" objects="1" scenarios="1"/>
  <mergeCells count="12">
    <mergeCell ref="A23:C23"/>
    <mergeCell ref="A4:K4"/>
    <mergeCell ref="A5:K5"/>
    <mergeCell ref="A7:K7"/>
    <mergeCell ref="A10:C10"/>
    <mergeCell ref="A11:C11"/>
    <mergeCell ref="A12:C12"/>
    <mergeCell ref="A15:C15"/>
    <mergeCell ref="A16:C16"/>
    <mergeCell ref="A17:C17"/>
    <mergeCell ref="A18:C18"/>
    <mergeCell ref="A21:C21"/>
  </mergeCells>
  <conditionalFormatting sqref="E23">
    <cfRule type="cellIs" dxfId="14" priority="1" operator="equal">
      <formula>5</formula>
    </cfRule>
    <cfRule type="cellIs" dxfId="13" priority="2" operator="lessThan">
      <formula>5</formula>
    </cfRule>
    <cfRule type="cellIs" dxfId="12" priority="3" operator="greaterThan">
      <formula>5</formula>
    </cfRule>
    <cfRule type="cellIs" dxfId="11" priority="4" operator="lessThan">
      <formula>5.05</formula>
    </cfRule>
    <cfRule type="cellIs" dxfId="10" priority="5" operator="lessThan">
      <formula>5.1</formula>
    </cfRule>
    <cfRule type="cellIs" dxfId="9" priority="7" operator="greaterThan">
      <formula>5.1</formula>
    </cfRule>
    <cfRule type="cellIs" dxfId="8" priority="8" operator="greaterThan">
      <formula>5</formula>
    </cfRule>
    <cfRule type="cellIs" dxfId="7" priority="9" operator="lessThan">
      <formula>5.1</formula>
    </cfRule>
    <cfRule type="cellIs" dxfId="6" priority="10" operator="greaterThan">
      <formula>5</formula>
    </cfRule>
    <cfRule type="cellIs" dxfId="5" priority="11" operator="lessThan">
      <formula>5.1</formula>
    </cfRule>
    <cfRule type="cellIs" dxfId="4" priority="12" operator="greaterThan">
      <formula>5.5</formula>
    </cfRule>
    <cfRule type="cellIs" dxfId="3" priority="13" operator="between">
      <formula>5.1</formula>
      <formula>5.4</formula>
    </cfRule>
    <cfRule type="cellIs" dxfId="2" priority="14" operator="between">
      <formula>5.1</formula>
      <formula>5.9</formula>
    </cfRule>
    <cfRule type="cellIs" dxfId="1" priority="15" operator="greaterThan">
      <formula>5.9</formula>
    </cfRule>
    <cfRule type="cellIs" dxfId="0" priority="17" operator="greaterThan">
      <formula>5</formula>
    </cfRule>
  </conditionalFormatting>
  <dataValidations count="10">
    <dataValidation allowBlank="1" showInputMessage="1" showErrorMessage="1" promptTitle="M/D Cation Ratio" prompt="A value of 5 or less minimizes potential septic system impacts" sqref="E23" xr:uid="{6CCA8CAF-F035-4F89-B153-9462781A1EBF}"/>
    <dataValidation allowBlank="1" showInputMessage="1" showErrorMessage="1" promptTitle="Values" prompt="A value of 5 or less minimizes potential septic system impacts" sqref="E23" xr:uid="{EB47F7D0-02AD-46E5-AB66-F1D7C70C9623}"/>
    <dataValidation allowBlank="1" showInputMessage="1" showErrorMessage="1" promptTitle="M/D Cation Ratio" prompt="Calculated for Actual Operational Salt Efficiency" sqref="A23 D23" xr:uid="{CCF63A6F-0D86-47DE-8A24-9EB6C07287DD}"/>
    <dataValidation allowBlank="1" showInputMessage="1" showErrorMessage="1" promptTitle="Efficiency Rated Softeners" prompt="Per NSF/ANSI 44: Efficiency rated softener's salt efficiency shall have a rated salt efficiency of not less than 3350 grains of total hardness exchange per pound of salt." sqref="A20:E20" xr:uid="{366A0EA6-4F5F-4AE1-A341-5CD529C5659D}"/>
    <dataValidation allowBlank="1" showInputMessage="1" showErrorMessage="1" promptTitle="Salt Efficiency" prompt="As used in NSF/ANSI 44 and defined in NSF/ANSI 330: The hardness removal capacity of a water softener divided by the weight of salt that is utilized to achieve that amount of hardness removal." sqref="A21:C21" xr:uid="{B6A21052-AA2E-4335-837D-B4A0EACBC157}"/>
    <dataValidation allowBlank="1" showInputMessage="1" showErrorMessage="1" promptTitle="Wastewater Characteristic Values" prompt="These water characteristics are computed from average household waste values plus the data above within the influent water characteristics section. " sqref="A14:D14" xr:uid="{60AC2DDA-03F0-4FCE-AC20-F507475C0AA1}"/>
    <dataValidation allowBlank="1" showInputMessage="1" showErrorMessage="1" promptTitle="Potassium" prompt="According to the WHO Potassium report, potassium discharge can range from 8-411 mg/L depending on the hardness of water. " sqref="A16:C16" xr:uid="{C9B17D0E-5914-4E41-A7EE-9DE05D1F7B2F}"/>
    <dataValidation allowBlank="1" showInputMessage="1" showErrorMessage="1" promptTitle="Potassium" prompt="According to various sources, 1-8 mg/L K is the national average in drinking water across Canada." sqref="A11:C11" xr:uid="{9D126C24-6B89-4406-8889-59A52B940E48}"/>
    <dataValidation allowBlank="1" showInputMessage="1" showErrorMessage="1" promptTitle="Sodium" prompt="According to the US EPA, the national average of sodium in drinking water across the US is 17 mg/L. However, sodium levels can reach as high as 500 mg/L." sqref="A10:C10" xr:uid="{82D77A38-BF72-4BC3-83E1-CB84428E3A89}"/>
    <dataValidation allowBlank="1" showInputMessage="1" showErrorMessage="1" promptTitle="Water Analysis" prompt="Please enter the information from your home's influent water analysis report." sqref="A9:D9" xr:uid="{128B1C20-69FB-4A36-A3BD-9334881D5C6D}"/>
  </dataValidations>
  <pageMargins left="0.25" right="0.25" top="1.25" bottom="0.75" header="0.3" footer="0.3"/>
  <pageSetup scale="9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8"/>
  <sheetViews>
    <sheetView workbookViewId="0">
      <selection activeCell="A19" sqref="A19:C19"/>
    </sheetView>
  </sheetViews>
  <sheetFormatPr defaultColWidth="9.1796875" defaultRowHeight="15.5" x14ac:dyDescent="0.35"/>
  <cols>
    <col min="1" max="1" width="10.54296875" style="2" customWidth="1"/>
    <col min="2" max="2" width="9.1796875" style="2"/>
    <col min="3" max="3" width="10.453125" style="2" customWidth="1"/>
    <col min="4" max="4" width="25.1796875" style="2" customWidth="1"/>
    <col min="5" max="5" width="18.54296875" style="2" customWidth="1"/>
    <col min="6" max="6" width="11.453125" style="2" customWidth="1"/>
    <col min="7" max="7" width="16.1796875" style="2" customWidth="1"/>
    <col min="8" max="9" width="9.1796875" style="2"/>
    <col min="10" max="10" width="11.453125" style="2" customWidth="1"/>
    <col min="11" max="11" width="4" style="2" customWidth="1"/>
    <col min="12" max="16384" width="9.1796875" style="2"/>
  </cols>
  <sheetData>
    <row r="1" spans="1:7" s="5" customFormat="1" ht="21" x14ac:dyDescent="0.5">
      <c r="A1" s="67" t="s">
        <v>0</v>
      </c>
      <c r="B1" s="67"/>
      <c r="C1" s="67"/>
      <c r="D1" s="67"/>
      <c r="E1" s="67"/>
      <c r="F1" s="67"/>
      <c r="G1" s="67"/>
    </row>
    <row r="2" spans="1:7" s="5" customFormat="1" ht="21" x14ac:dyDescent="0.5">
      <c r="A2" s="12"/>
      <c r="B2" s="12"/>
      <c r="C2" s="12"/>
      <c r="D2" s="12"/>
      <c r="E2" s="12"/>
      <c r="F2" s="12"/>
      <c r="G2" s="12"/>
    </row>
    <row r="3" spans="1:7" x14ac:dyDescent="0.35">
      <c r="A3" s="1"/>
    </row>
    <row r="4" spans="1:7" x14ac:dyDescent="0.35">
      <c r="A4" s="3" t="s">
        <v>1</v>
      </c>
    </row>
    <row r="5" spans="1:7" ht="18.5" x14ac:dyDescent="0.45">
      <c r="A5" s="6" t="s">
        <v>8</v>
      </c>
      <c r="D5" s="8"/>
      <c r="E5" s="6" t="s">
        <v>13</v>
      </c>
    </row>
    <row r="6" spans="1:7" x14ac:dyDescent="0.35">
      <c r="A6" s="6" t="s">
        <v>9</v>
      </c>
      <c r="D6" s="8"/>
      <c r="E6" s="2" t="s">
        <v>13</v>
      </c>
    </row>
    <row r="7" spans="1:7" x14ac:dyDescent="0.35">
      <c r="A7" s="6" t="s">
        <v>10</v>
      </c>
      <c r="D7" s="8"/>
      <c r="E7" s="2" t="s">
        <v>17</v>
      </c>
      <c r="F7" s="7">
        <f>D7*17.1</f>
        <v>0</v>
      </c>
      <c r="G7" s="2" t="s">
        <v>19</v>
      </c>
    </row>
    <row r="9" spans="1:7" x14ac:dyDescent="0.35">
      <c r="A9" s="3" t="s">
        <v>2</v>
      </c>
    </row>
    <row r="10" spans="1:7" x14ac:dyDescent="0.35">
      <c r="A10" s="6" t="s">
        <v>11</v>
      </c>
      <c r="D10" s="7">
        <f>(D5*2.17)+120</f>
        <v>120</v>
      </c>
      <c r="E10" s="2" t="s">
        <v>12</v>
      </c>
    </row>
    <row r="11" spans="1:7" x14ac:dyDescent="0.35">
      <c r="A11" s="6" t="s">
        <v>14</v>
      </c>
      <c r="D11" s="7">
        <f>(D6*1.28)+14</f>
        <v>14</v>
      </c>
      <c r="E11" s="2" t="s">
        <v>12</v>
      </c>
    </row>
    <row r="12" spans="1:7" x14ac:dyDescent="0.35">
      <c r="A12" s="6" t="s">
        <v>15</v>
      </c>
      <c r="D12" s="7">
        <f>SUM(D10:D11)</f>
        <v>134</v>
      </c>
      <c r="E12" s="2" t="s">
        <v>12</v>
      </c>
    </row>
    <row r="13" spans="1:7" x14ac:dyDescent="0.35">
      <c r="A13" s="6" t="s">
        <v>16</v>
      </c>
      <c r="D13" s="7">
        <f>F7+56</f>
        <v>56</v>
      </c>
      <c r="E13" s="2" t="s">
        <v>12</v>
      </c>
    </row>
    <row r="15" spans="1:7" x14ac:dyDescent="0.35">
      <c r="A15" s="3" t="s">
        <v>23</v>
      </c>
    </row>
    <row r="16" spans="1:7" ht="16.5" customHeight="1" x14ac:dyDescent="0.35">
      <c r="A16" s="6" t="s">
        <v>24</v>
      </c>
      <c r="D16" s="9" t="s">
        <v>18</v>
      </c>
      <c r="E16" s="2" t="s">
        <v>25</v>
      </c>
    </row>
    <row r="17" spans="1:3" ht="16.5" customHeight="1" x14ac:dyDescent="0.35">
      <c r="A17" s="3"/>
    </row>
    <row r="18" spans="1:3" x14ac:dyDescent="0.35">
      <c r="A18" s="3" t="s">
        <v>26</v>
      </c>
    </row>
    <row r="19" spans="1:3" x14ac:dyDescent="0.35">
      <c r="A19" s="68" t="e">
        <f>(($F$7*6000/$D$16)+$D$12)/$D$13</f>
        <v>#VALUE!</v>
      </c>
      <c r="B19" s="68"/>
      <c r="C19" s="68"/>
    </row>
    <row r="20" spans="1:3" x14ac:dyDescent="0.35">
      <c r="A20" s="1"/>
      <c r="B20" s="1"/>
      <c r="C20" s="1"/>
    </row>
    <row r="21" spans="1:3" x14ac:dyDescent="0.35">
      <c r="A21" s="1"/>
      <c r="B21" s="1"/>
      <c r="C21" s="1"/>
    </row>
    <row r="22" spans="1:3" x14ac:dyDescent="0.35">
      <c r="A22" s="1"/>
      <c r="B22" s="1"/>
      <c r="C22" s="1"/>
    </row>
    <row r="23" spans="1:3" x14ac:dyDescent="0.35">
      <c r="A23" s="3"/>
    </row>
    <row r="24" spans="1:3" x14ac:dyDescent="0.35">
      <c r="A24" s="3" t="s">
        <v>27</v>
      </c>
    </row>
    <row r="25" spans="1:3" x14ac:dyDescent="0.35">
      <c r="A25" s="3"/>
    </row>
    <row r="26" spans="1:3" x14ac:dyDescent="0.35">
      <c r="A26" s="2" t="s">
        <v>3</v>
      </c>
    </row>
    <row r="27" spans="1:3" x14ac:dyDescent="0.35">
      <c r="A27" s="11">
        <f>(($F$7*6000/4000)+$D$12)/$D$13</f>
        <v>2.3928571428571428</v>
      </c>
      <c r="B27" s="10" t="s">
        <v>28</v>
      </c>
    </row>
    <row r="28" spans="1:3" x14ac:dyDescent="0.35">
      <c r="A28" s="4"/>
    </row>
    <row r="29" spans="1:3" x14ac:dyDescent="0.35">
      <c r="A29" s="2" t="s">
        <v>4</v>
      </c>
    </row>
    <row r="30" spans="1:3" x14ac:dyDescent="0.35">
      <c r="A30" s="11">
        <f>(($F$7*6000/3000)+$D$12)/$D$13</f>
        <v>2.3928571428571428</v>
      </c>
      <c r="B30" s="10" t="s">
        <v>20</v>
      </c>
    </row>
    <row r="31" spans="1:3" x14ac:dyDescent="0.35">
      <c r="A31" s="4"/>
    </row>
    <row r="32" spans="1:3" x14ac:dyDescent="0.35">
      <c r="A32" s="2" t="s">
        <v>5</v>
      </c>
    </row>
    <row r="33" spans="1:7" x14ac:dyDescent="0.35">
      <c r="A33" s="11">
        <f>(($F$7*6000/2000)+$D$12)/$D$13</f>
        <v>2.3928571428571428</v>
      </c>
      <c r="B33" s="10" t="s">
        <v>21</v>
      </c>
    </row>
    <row r="34" spans="1:7" x14ac:dyDescent="0.35">
      <c r="A34" s="4"/>
    </row>
    <row r="35" spans="1:7" x14ac:dyDescent="0.35">
      <c r="A35" s="2" t="s">
        <v>6</v>
      </c>
    </row>
    <row r="36" spans="1:7" x14ac:dyDescent="0.35">
      <c r="A36" s="11">
        <f>(($F$7*6000/1000)+$D$12)/$D$13</f>
        <v>2.3928571428571428</v>
      </c>
      <c r="B36" s="10" t="s">
        <v>22</v>
      </c>
    </row>
    <row r="37" spans="1:7" x14ac:dyDescent="0.35">
      <c r="A37" s="4"/>
    </row>
    <row r="38" spans="1:7" ht="67.5" customHeight="1" x14ac:dyDescent="0.35">
      <c r="A38" s="69" t="s">
        <v>7</v>
      </c>
      <c r="B38" s="69"/>
      <c r="C38" s="69"/>
      <c r="D38" s="69"/>
      <c r="E38" s="69"/>
      <c r="F38" s="69"/>
      <c r="G38" s="69"/>
    </row>
  </sheetData>
  <mergeCells count="3">
    <mergeCell ref="A1:G1"/>
    <mergeCell ref="A19:C19"/>
    <mergeCell ref="A38:G38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Key</vt:lpstr>
      <vt:lpstr>Worksheet-Descriptive</vt:lpstr>
      <vt:lpstr>MD Ratio Example - Below</vt:lpstr>
      <vt:lpstr>MD Ratio Example - Above 5</vt:lpstr>
      <vt:lpstr>Worksheet-NonDescriptive</vt:lpstr>
      <vt:lpstr>Key!Print_Area</vt:lpstr>
      <vt:lpstr>'MD Ratio Example - Above 5'!Print_Area</vt:lpstr>
      <vt:lpstr>'MD Ratio Example - Below'!Print_Area</vt:lpstr>
      <vt:lpstr>'Worksheet-Descriptive'!Print_Area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 Undesser</dc:creator>
  <cp:lastModifiedBy>May Fathallah</cp:lastModifiedBy>
  <cp:lastPrinted>2010-11-23T20:13:21Z</cp:lastPrinted>
  <dcterms:created xsi:type="dcterms:W3CDTF">2010-11-18T20:04:09Z</dcterms:created>
  <dcterms:modified xsi:type="dcterms:W3CDTF">2026-03-16T20:01:29Z</dcterms:modified>
</cp:coreProperties>
</file>